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22. Cotton ginning and bailing\"/>
    </mc:Choice>
  </mc:AlternateContent>
  <xr:revisionPtr revIDLastSave="0" documentId="13_ncr:1_{87F519A8-CCEE-43F5-9734-C6137F5F5C52}" xr6:coauthVersionLast="47" xr6:coauthVersionMax="47" xr10:uidLastSave="{00000000-0000-0000-0000-000000000000}"/>
  <bookViews>
    <workbookView xWindow="-110" yWindow="-110" windowWidth="19420" windowHeight="11020" activeTab="3"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2" i="11" l="1"/>
  <c r="C23" i="11"/>
  <c r="C27" i="11" s="1"/>
  <c r="E23" i="11"/>
  <c r="E25" i="11" s="1"/>
  <c r="D23" i="11"/>
  <c r="D25" i="11" s="1"/>
  <c r="C25" i="11"/>
  <c r="E22" i="11"/>
  <c r="C22" i="11"/>
  <c r="C18" i="19"/>
  <c r="E4" i="3"/>
  <c r="C15" i="1"/>
  <c r="D5" i="22"/>
  <c r="C43" i="4"/>
  <c r="C8" i="4" s="1"/>
  <c r="D23" i="7"/>
  <c r="E23" i="7"/>
  <c r="F23" i="7"/>
  <c r="G23" i="7"/>
  <c r="H23" i="7"/>
  <c r="I23" i="7"/>
  <c r="J23" i="7"/>
  <c r="K23" i="7"/>
  <c r="C23" i="7"/>
  <c r="C7" i="2"/>
  <c r="B4" i="18" s="1"/>
  <c r="E27" i="11" l="1"/>
  <c r="D8" i="11"/>
  <c r="E28" i="11" s="1"/>
  <c r="D27" i="11"/>
  <c r="D28" i="11"/>
  <c r="C26" i="19"/>
  <c r="C23" i="19"/>
  <c r="E10" i="9"/>
  <c r="E4" i="22"/>
  <c r="E5" i="22" s="1"/>
  <c r="B8" i="18"/>
  <c r="C32" i="4"/>
  <c r="B13" i="18" s="1"/>
  <c r="G6" i="19"/>
  <c r="G7" i="4" s="1"/>
  <c r="E18" i="9"/>
  <c r="E8" i="10"/>
  <c r="E12" i="10" s="1"/>
  <c r="C28" i="11" l="1"/>
  <c r="G18" i="4"/>
  <c r="G10" i="4"/>
  <c r="G7" i="19"/>
  <c r="G11" i="19" s="1"/>
  <c r="G24" i="7"/>
  <c r="E13" i="10"/>
  <c r="E14" i="10" s="1"/>
  <c r="E15" i="10" s="1"/>
  <c r="F4" i="22"/>
  <c r="C6" i="19"/>
  <c r="C7" i="4" s="1"/>
  <c r="D6" i="19"/>
  <c r="D7" i="4" s="1"/>
  <c r="E6" i="19"/>
  <c r="E7" i="4" s="1"/>
  <c r="K6" i="19"/>
  <c r="K7" i="4" s="1"/>
  <c r="J6" i="19"/>
  <c r="J7" i="4" s="1"/>
  <c r="F6" i="19"/>
  <c r="F7" i="4" s="1"/>
  <c r="I6" i="19"/>
  <c r="I7" i="4" s="1"/>
  <c r="H6" i="19"/>
  <c r="H7" i="4" s="1"/>
  <c r="E16" i="3"/>
  <c r="C19" i="1" s="1"/>
  <c r="E8" i="9"/>
  <c r="D28" i="4"/>
  <c r="E28" i="4"/>
  <c r="F28" i="4"/>
  <c r="G28" i="4"/>
  <c r="H28" i="4"/>
  <c r="I28" i="4"/>
  <c r="J28" i="4"/>
  <c r="K28" i="4"/>
  <c r="C28" i="4"/>
  <c r="E5" i="3"/>
  <c r="B13" i="23"/>
  <c r="B9" i="23"/>
  <c r="B15" i="23" l="1"/>
  <c r="B17" i="23" s="1"/>
  <c r="D18" i="4"/>
  <c r="D10" i="4"/>
  <c r="D24" i="7" s="1"/>
  <c r="C18" i="4"/>
  <c r="C10" i="4"/>
  <c r="C24" i="7" s="1"/>
  <c r="I10" i="4"/>
  <c r="I24" i="7" s="1"/>
  <c r="I18" i="4"/>
  <c r="K18" i="4"/>
  <c r="K10" i="4"/>
  <c r="K24" i="7" s="1"/>
  <c r="H10" i="4"/>
  <c r="H24" i="7" s="1"/>
  <c r="H18" i="4"/>
  <c r="F10" i="4"/>
  <c r="F24" i="7" s="1"/>
  <c r="F18" i="4"/>
  <c r="J10" i="4"/>
  <c r="J24" i="7" s="1"/>
  <c r="J18" i="4"/>
  <c r="E10" i="4"/>
  <c r="E24" i="7" s="1"/>
  <c r="E18" i="4"/>
  <c r="G4" i="22"/>
  <c r="F5" i="22"/>
  <c r="G32" i="19"/>
  <c r="G33" i="19"/>
  <c r="D7" i="19"/>
  <c r="D11" i="19" s="1"/>
  <c r="H7" i="19"/>
  <c r="H11" i="19" s="1"/>
  <c r="I7" i="19"/>
  <c r="I11" i="19" s="1"/>
  <c r="G8" i="19"/>
  <c r="G10" i="19" s="1"/>
  <c r="G13" i="19" s="1"/>
  <c r="F7" i="19"/>
  <c r="F11" i="19" s="1"/>
  <c r="J7" i="19"/>
  <c r="J11" i="19" s="1"/>
  <c r="K7" i="19"/>
  <c r="K11" i="19" s="1"/>
  <c r="E7" i="19"/>
  <c r="E11" i="19" s="1"/>
  <c r="C7" i="19"/>
  <c r="E18" i="3"/>
  <c r="C9" i="4"/>
  <c r="E16" i="10"/>
  <c r="E17" i="10" s="1"/>
  <c r="C6" i="10"/>
  <c r="A6" i="21"/>
  <c r="G5" i="22" l="1"/>
  <c r="H4" i="22"/>
  <c r="E32" i="19"/>
  <c r="K32" i="19"/>
  <c r="H32" i="19"/>
  <c r="J32" i="19"/>
  <c r="C11" i="19"/>
  <c r="C32" i="19"/>
  <c r="F32" i="19"/>
  <c r="I32" i="19"/>
  <c r="D32" i="19"/>
  <c r="G9" i="19"/>
  <c r="J8" i="19"/>
  <c r="J10" i="19" s="1"/>
  <c r="J13" i="19" s="1"/>
  <c r="E18" i="10"/>
  <c r="E19" i="10" s="1"/>
  <c r="E20" i="10" s="1"/>
  <c r="D9" i="4"/>
  <c r="E9" i="4" s="1"/>
  <c r="F9" i="4" s="1"/>
  <c r="G9" i="4" s="1"/>
  <c r="H9" i="4" s="1"/>
  <c r="I9" i="4" s="1"/>
  <c r="J9" i="4" s="1"/>
  <c r="K9" i="4" s="1"/>
  <c r="E13" i="11"/>
  <c r="I33" i="19"/>
  <c r="C33" i="19"/>
  <c r="I8" i="19"/>
  <c r="I10" i="19" s="1"/>
  <c r="I13" i="19" s="1"/>
  <c r="C8" i="19"/>
  <c r="C10" i="19" s="1"/>
  <c r="D33" i="19"/>
  <c r="J33" i="19"/>
  <c r="D8" i="19"/>
  <c r="D10" i="19" s="1"/>
  <c r="D13" i="19" s="1"/>
  <c r="F33" i="19"/>
  <c r="E33" i="19"/>
  <c r="F8" i="19"/>
  <c r="F10" i="19" s="1"/>
  <c r="F13" i="19" s="1"/>
  <c r="E8" i="19"/>
  <c r="E10" i="19" s="1"/>
  <c r="E13" i="19" s="1"/>
  <c r="K33" i="19"/>
  <c r="H33" i="19"/>
  <c r="K8" i="19"/>
  <c r="K10" i="19" s="1"/>
  <c r="K13" i="19" s="1"/>
  <c r="H8" i="19"/>
  <c r="H10" i="19" s="1"/>
  <c r="H13" i="19" s="1"/>
  <c r="A13" i="21"/>
  <c r="A11" i="21"/>
  <c r="A10" i="21"/>
  <c r="A9" i="21"/>
  <c r="K47" i="7"/>
  <c r="J47" i="7"/>
  <c r="I34" i="7"/>
  <c r="J34" i="7"/>
  <c r="K34" i="7"/>
  <c r="E9" i="9"/>
  <c r="A14" i="21"/>
  <c r="G12" i="19" l="1"/>
  <c r="G17" i="4"/>
  <c r="H5" i="22"/>
  <c r="I4" i="22"/>
  <c r="G14" i="19"/>
  <c r="G42" i="19"/>
  <c r="G41" i="19"/>
  <c r="G50" i="19"/>
  <c r="G51" i="19"/>
  <c r="I9" i="19"/>
  <c r="E9" i="19"/>
  <c r="F9" i="19"/>
  <c r="C9" i="19"/>
  <c r="C17" i="4" s="1"/>
  <c r="C25" i="19"/>
  <c r="H9" i="19"/>
  <c r="K9" i="19"/>
  <c r="D9" i="19"/>
  <c r="J9" i="19"/>
  <c r="C34" i="19"/>
  <c r="C35" i="19" s="1"/>
  <c r="A16" i="21"/>
  <c r="A15" i="21"/>
  <c r="A12" i="21"/>
  <c r="A8" i="21"/>
  <c r="A7" i="21"/>
  <c r="A5" i="21"/>
  <c r="A4" i="21"/>
  <c r="C24" i="18"/>
  <c r="K24" i="18"/>
  <c r="J24" i="18"/>
  <c r="I24" i="18"/>
  <c r="H24" i="18"/>
  <c r="G24" i="18"/>
  <c r="F24" i="18"/>
  <c r="E24" i="18"/>
  <c r="D24" i="18"/>
  <c r="E17" i="4" l="1"/>
  <c r="E12" i="19"/>
  <c r="K12" i="19"/>
  <c r="K17" i="4"/>
  <c r="H12" i="19"/>
  <c r="H17" i="4"/>
  <c r="E31" i="11"/>
  <c r="J17" i="4"/>
  <c r="J12" i="19"/>
  <c r="F17" i="4"/>
  <c r="F12" i="19"/>
  <c r="I17" i="4"/>
  <c r="I12" i="19"/>
  <c r="D12" i="19"/>
  <c r="D17" i="4"/>
  <c r="I5" i="22"/>
  <c r="J4" i="22"/>
  <c r="J41" i="19"/>
  <c r="J42" i="19"/>
  <c r="I41" i="19"/>
  <c r="I42" i="19"/>
  <c r="D50" i="19"/>
  <c r="D51" i="19"/>
  <c r="C13" i="19"/>
  <c r="C50" i="19"/>
  <c r="C51" i="19"/>
  <c r="E42" i="19"/>
  <c r="E41" i="19"/>
  <c r="I50" i="19"/>
  <c r="I51" i="19"/>
  <c r="D42" i="19"/>
  <c r="D41" i="19"/>
  <c r="C24" i="19"/>
  <c r="C41" i="19"/>
  <c r="C42" i="19"/>
  <c r="H51" i="19"/>
  <c r="H50" i="19"/>
  <c r="E50" i="19"/>
  <c r="E51" i="19"/>
  <c r="H42" i="19"/>
  <c r="H41" i="19"/>
  <c r="J51" i="19"/>
  <c r="J50" i="19"/>
  <c r="K51" i="19"/>
  <c r="K50" i="19"/>
  <c r="F50" i="19"/>
  <c r="F51" i="19"/>
  <c r="K14" i="19"/>
  <c r="K42" i="19"/>
  <c r="K41" i="19"/>
  <c r="F42" i="19"/>
  <c r="F41" i="19"/>
  <c r="G23" i="4"/>
  <c r="G12" i="7" s="1"/>
  <c r="D14" i="19"/>
  <c r="C12" i="19"/>
  <c r="I14" i="19"/>
  <c r="D31" i="19"/>
  <c r="D34" i="19" s="1"/>
  <c r="D35" i="19" s="1"/>
  <c r="I41" i="7"/>
  <c r="J41" i="7"/>
  <c r="K41" i="7"/>
  <c r="D31" i="11" l="1"/>
  <c r="C31" i="11"/>
  <c r="J5" i="22"/>
  <c r="K4" i="22"/>
  <c r="C52" i="19"/>
  <c r="C53" i="19" s="1"/>
  <c r="E14" i="19"/>
  <c r="E23" i="4" s="1"/>
  <c r="E12" i="7" s="1"/>
  <c r="F14" i="19"/>
  <c r="F23" i="4" s="1"/>
  <c r="F12" i="7" s="1"/>
  <c r="C14" i="19"/>
  <c r="C23" i="4" s="1"/>
  <c r="C12" i="7" s="1"/>
  <c r="H14" i="19"/>
  <c r="H23" i="4" s="1"/>
  <c r="H12" i="7" s="1"/>
  <c r="D23" i="4"/>
  <c r="D12" i="7" s="1"/>
  <c r="I23" i="4"/>
  <c r="I12" i="7" s="1"/>
  <c r="K23" i="4"/>
  <c r="K12" i="7" s="1"/>
  <c r="J14" i="19"/>
  <c r="E31" i="19"/>
  <c r="E34" i="19" s="1"/>
  <c r="E35" i="19" s="1"/>
  <c r="D42" i="4"/>
  <c r="D43" i="4" s="1"/>
  <c r="D8" i="4" s="1"/>
  <c r="K5" i="22" l="1"/>
  <c r="L4" i="22"/>
  <c r="L5" i="22" s="1"/>
  <c r="D49" i="19"/>
  <c r="D52" i="19" s="1"/>
  <c r="D53" i="19" s="1"/>
  <c r="C43" i="19"/>
  <c r="C44" i="19" s="1"/>
  <c r="J23" i="4"/>
  <c r="J12" i="7" s="1"/>
  <c r="F31" i="19"/>
  <c r="F34" i="19" s="1"/>
  <c r="F35" i="19" s="1"/>
  <c r="E42" i="4"/>
  <c r="E43" i="4" s="1"/>
  <c r="E8" i="4" s="1"/>
  <c r="C13" i="4" l="1"/>
  <c r="D12" i="4" s="1"/>
  <c r="E49" i="19"/>
  <c r="E52" i="19" s="1"/>
  <c r="E53" i="19" s="1"/>
  <c r="D40" i="19"/>
  <c r="D43" i="19" s="1"/>
  <c r="D44" i="19" s="1"/>
  <c r="G31" i="19"/>
  <c r="G34" i="19" s="1"/>
  <c r="G35" i="19" s="1"/>
  <c r="F42" i="4"/>
  <c r="F43" i="4" s="1"/>
  <c r="F8" i="4" s="1"/>
  <c r="C13" i="7" l="1"/>
  <c r="D13" i="4"/>
  <c r="D13" i="7" s="1"/>
  <c r="F49" i="19"/>
  <c r="F52" i="19" s="1"/>
  <c r="F53" i="19" s="1"/>
  <c r="E40" i="19"/>
  <c r="E43" i="19" s="1"/>
  <c r="E44" i="19" s="1"/>
  <c r="E13" i="4" s="1"/>
  <c r="H31" i="19"/>
  <c r="H34" i="19" s="1"/>
  <c r="H35" i="19" s="1"/>
  <c r="G42" i="4"/>
  <c r="G43" i="4" s="1"/>
  <c r="G8" i="4" s="1"/>
  <c r="E12" i="4" l="1"/>
  <c r="E13" i="7"/>
  <c r="F12" i="4"/>
  <c r="G49" i="19"/>
  <c r="G52" i="19" s="1"/>
  <c r="G53" i="19" s="1"/>
  <c r="F40" i="19"/>
  <c r="F43" i="19" s="1"/>
  <c r="F44" i="19" s="1"/>
  <c r="I31" i="19"/>
  <c r="I34" i="19" s="1"/>
  <c r="I35" i="19" s="1"/>
  <c r="K29" i="7"/>
  <c r="C9" i="18"/>
  <c r="E5" i="11"/>
  <c r="D7" i="11" s="1"/>
  <c r="J3" i="20"/>
  <c r="B3" i="20"/>
  <c r="H42" i="4"/>
  <c r="H43" i="4" s="1"/>
  <c r="H8" i="4" s="1"/>
  <c r="F13" i="4" l="1"/>
  <c r="F13" i="7" s="1"/>
  <c r="H49" i="19"/>
  <c r="H52" i="19" s="1"/>
  <c r="H53" i="19" s="1"/>
  <c r="G40" i="19"/>
  <c r="G43" i="19" s="1"/>
  <c r="G44" i="19" s="1"/>
  <c r="G13" i="4" s="1"/>
  <c r="J31" i="19"/>
  <c r="J34" i="19" s="1"/>
  <c r="J35" i="19" s="1"/>
  <c r="I29" i="7"/>
  <c r="G29" i="7"/>
  <c r="D9" i="18"/>
  <c r="J29" i="7"/>
  <c r="E9" i="18"/>
  <c r="H29" i="7"/>
  <c r="C11" i="4"/>
  <c r="C14" i="4" s="1"/>
  <c r="C29" i="7"/>
  <c r="G11" i="4"/>
  <c r="G3" i="20"/>
  <c r="C3" i="20"/>
  <c r="D3" i="20"/>
  <c r="I3" i="20"/>
  <c r="H3" i="20"/>
  <c r="E3" i="20"/>
  <c r="F3" i="20"/>
  <c r="I42" i="4"/>
  <c r="I43" i="4" s="1"/>
  <c r="I8" i="4" s="1"/>
  <c r="G12" i="4" l="1"/>
  <c r="G14" i="4" s="1"/>
  <c r="I49" i="19"/>
  <c r="I52" i="19" s="1"/>
  <c r="I53" i="19" s="1"/>
  <c r="G13" i="7"/>
  <c r="H12" i="4"/>
  <c r="H40" i="19"/>
  <c r="H43" i="19" s="1"/>
  <c r="H44" i="19" s="1"/>
  <c r="K31" i="19"/>
  <c r="K34" i="19" s="1"/>
  <c r="K35" i="19" s="1"/>
  <c r="H11" i="4"/>
  <c r="D11" i="4"/>
  <c r="D14" i="4" s="1"/>
  <c r="D29" i="7"/>
  <c r="E11" i="4"/>
  <c r="E14" i="4" s="1"/>
  <c r="E29" i="7"/>
  <c r="F11" i="4"/>
  <c r="F14" i="4" s="1"/>
  <c r="F29" i="7"/>
  <c r="J42" i="4"/>
  <c r="J43" i="4" s="1"/>
  <c r="J8" i="4" s="1"/>
  <c r="H13" i="4" l="1"/>
  <c r="I12" i="4" s="1"/>
  <c r="J49" i="19"/>
  <c r="J52" i="19" s="1"/>
  <c r="J53" i="19" s="1"/>
  <c r="I40" i="19"/>
  <c r="I43" i="19" s="1"/>
  <c r="I44" i="19" s="1"/>
  <c r="I11" i="4"/>
  <c r="K42" i="4"/>
  <c r="K43" i="4" s="1"/>
  <c r="K8" i="4" s="1"/>
  <c r="J11" i="4"/>
  <c r="C12" i="1"/>
  <c r="C35" i="1"/>
  <c r="J29" i="4"/>
  <c r="K29" i="4"/>
  <c r="K14" i="18" s="1"/>
  <c r="H14" i="4" l="1"/>
  <c r="H13" i="7"/>
  <c r="I13" i="4"/>
  <c r="I13" i="7" s="1"/>
  <c r="K49" i="19"/>
  <c r="K52" i="19" s="1"/>
  <c r="K53" i="19" s="1"/>
  <c r="J40" i="19"/>
  <c r="J43" i="19" s="1"/>
  <c r="J44" i="19" s="1"/>
  <c r="J14" i="18"/>
  <c r="J46" i="7"/>
  <c r="K46" i="7"/>
  <c r="E6" i="9"/>
  <c r="J13" i="4" l="1"/>
  <c r="J13" i="7" s="1"/>
  <c r="I14" i="4"/>
  <c r="J12" i="4"/>
  <c r="J14" i="4" s="1"/>
  <c r="K40" i="19"/>
  <c r="K43" i="19" s="1"/>
  <c r="K11" i="4"/>
  <c r="D9" i="11"/>
  <c r="K44" i="19" l="1"/>
  <c r="K13" i="4" s="1"/>
  <c r="K13" i="7" s="1"/>
  <c r="K12" i="4"/>
  <c r="E24" i="11"/>
  <c r="E29" i="11" s="1"/>
  <c r="E30" i="11" s="1"/>
  <c r="E32" i="11" s="1"/>
  <c r="D24" i="11"/>
  <c r="D29" i="11" s="1"/>
  <c r="D30" i="11" s="1"/>
  <c r="D32" i="11" s="1"/>
  <c r="C24" i="11"/>
  <c r="C29" i="11" s="1"/>
  <c r="C30" i="11" s="1"/>
  <c r="C32" i="11" s="1"/>
  <c r="E9" i="11"/>
  <c r="E10" i="11" s="1"/>
  <c r="J48" i="7"/>
  <c r="K48" i="7"/>
  <c r="C12" i="10"/>
  <c r="C20" i="1"/>
  <c r="C16" i="1"/>
  <c r="F8" i="10"/>
  <c r="F7" i="10"/>
  <c r="E7" i="9"/>
  <c r="E11" i="9" s="1"/>
  <c r="E13" i="9" s="1"/>
  <c r="C9" i="1"/>
  <c r="K14" i="4" l="1"/>
  <c r="F32" i="11"/>
  <c r="C41" i="1"/>
  <c r="D6" i="10"/>
  <c r="D12" i="10" s="1"/>
  <c r="D13" i="10" s="1"/>
  <c r="D14" i="10" s="1"/>
  <c r="D11" i="18"/>
  <c r="C7" i="15"/>
  <c r="E11" i="18"/>
  <c r="C13" i="10"/>
  <c r="C3" i="15"/>
  <c r="K6" i="12"/>
  <c r="E5" i="12"/>
  <c r="H6" i="12"/>
  <c r="E6" i="12"/>
  <c r="D6" i="12"/>
  <c r="F6" i="12"/>
  <c r="F5" i="12"/>
  <c r="G5" i="12"/>
  <c r="I6" i="12"/>
  <c r="C8" i="2" l="1"/>
  <c r="B10" i="13"/>
  <c r="C10" i="7"/>
  <c r="F12" i="10"/>
  <c r="E14" i="11" s="1"/>
  <c r="F6" i="10"/>
  <c r="C33" i="4"/>
  <c r="F13" i="10"/>
  <c r="E14" i="9"/>
  <c r="E12" i="11" s="1"/>
  <c r="F3" i="15"/>
  <c r="F11" i="18"/>
  <c r="C14" i="10"/>
  <c r="F14" i="10" s="1"/>
  <c r="C10" i="13"/>
  <c r="D33" i="4"/>
  <c r="D10" i="7"/>
  <c r="E3" i="15"/>
  <c r="D3" i="15"/>
  <c r="H5" i="12"/>
  <c r="J5" i="12"/>
  <c r="C6" i="12"/>
  <c r="J6" i="12"/>
  <c r="D5" i="12"/>
  <c r="I5" i="12"/>
  <c r="C5" i="12"/>
  <c r="G6" i="12"/>
  <c r="K5" i="12"/>
  <c r="D15" i="10"/>
  <c r="D16" i="10" s="1"/>
  <c r="D17" i="10" s="1"/>
  <c r="C4" i="2" l="1"/>
  <c r="C6" i="2" s="1"/>
  <c r="F9" i="10"/>
  <c r="E16" i="9"/>
  <c r="C16" i="4"/>
  <c r="D16" i="4" s="1"/>
  <c r="E16" i="4" s="1"/>
  <c r="F16" i="4" s="1"/>
  <c r="G16" i="4" s="1"/>
  <c r="H16" i="4" s="1"/>
  <c r="I16" i="4" s="1"/>
  <c r="J16" i="4" s="1"/>
  <c r="K16" i="4" s="1"/>
  <c r="G11" i="18"/>
  <c r="E33" i="4"/>
  <c r="E10" i="7"/>
  <c r="D10" i="13"/>
  <c r="C15" i="10"/>
  <c r="D18" i="10"/>
  <c r="C18" i="7" l="1"/>
  <c r="B5" i="18"/>
  <c r="D4" i="14"/>
  <c r="D11" i="14" s="1"/>
  <c r="D12" i="14" s="1"/>
  <c r="D13" i="14" s="1"/>
  <c r="B6" i="18"/>
  <c r="B7" i="18"/>
  <c r="B27" i="18" s="1"/>
  <c r="B28" i="18" s="1"/>
  <c r="C9" i="7"/>
  <c r="C11" i="7" s="1"/>
  <c r="D9" i="7" s="1"/>
  <c r="D11" i="7" s="1"/>
  <c r="D40" i="7" s="1"/>
  <c r="C20" i="4"/>
  <c r="F15" i="10"/>
  <c r="F9" i="18"/>
  <c r="H11" i="18"/>
  <c r="G3" i="15"/>
  <c r="F10" i="7"/>
  <c r="E10" i="13"/>
  <c r="F33" i="4"/>
  <c r="C16" i="10"/>
  <c r="C17" i="10" s="1"/>
  <c r="D19" i="10"/>
  <c r="D20" i="10" s="1"/>
  <c r="B25" i="18" l="1"/>
  <c r="B26" i="18" s="1"/>
  <c r="B31" i="18" s="1"/>
  <c r="C10" i="14"/>
  <c r="E10" i="14" s="1"/>
  <c r="C9" i="14"/>
  <c r="E9" i="14" s="1"/>
  <c r="C11" i="14"/>
  <c r="B21" i="18"/>
  <c r="C4" i="18" s="1"/>
  <c r="C25" i="18" s="1"/>
  <c r="C26" i="18" s="1"/>
  <c r="B15" i="18"/>
  <c r="C20" i="18"/>
  <c r="C47" i="7"/>
  <c r="D14" i="14"/>
  <c r="E9" i="7"/>
  <c r="E11" i="7" s="1"/>
  <c r="E40" i="7" s="1"/>
  <c r="C40" i="7"/>
  <c r="D20" i="4"/>
  <c r="E11" i="14"/>
  <c r="C12" i="14"/>
  <c r="D10" i="18"/>
  <c r="F16" i="10"/>
  <c r="G9" i="18"/>
  <c r="I11" i="18"/>
  <c r="H3" i="15"/>
  <c r="G10" i="7"/>
  <c r="F10" i="13"/>
  <c r="G33" i="4"/>
  <c r="C18" i="10"/>
  <c r="H33" i="4"/>
  <c r="B30" i="18" l="1"/>
  <c r="D15" i="14"/>
  <c r="F9" i="7"/>
  <c r="F11" i="7" s="1"/>
  <c r="F40" i="7" s="1"/>
  <c r="E20" i="4"/>
  <c r="E22" i="4" s="1"/>
  <c r="E12" i="14"/>
  <c r="E18" i="11" s="1"/>
  <c r="E19" i="11" s="1"/>
  <c r="C34" i="11" s="1"/>
  <c r="C13" i="14"/>
  <c r="D12" i="18"/>
  <c r="E10" i="18"/>
  <c r="D22" i="4"/>
  <c r="D24" i="4" s="1"/>
  <c r="D49" i="7" s="1"/>
  <c r="F17" i="10"/>
  <c r="H9" i="18"/>
  <c r="J11" i="18"/>
  <c r="I3" i="15"/>
  <c r="H10" i="7"/>
  <c r="G10" i="13"/>
  <c r="C19" i="10"/>
  <c r="G9" i="7" l="1"/>
  <c r="G11" i="7" s="1"/>
  <c r="G40" i="7" s="1"/>
  <c r="D16" i="14"/>
  <c r="D20" i="18" s="1"/>
  <c r="E12" i="18"/>
  <c r="F20" i="4"/>
  <c r="F22" i="4" s="1"/>
  <c r="C27" i="4"/>
  <c r="C29" i="4" s="1"/>
  <c r="C14" i="18" s="1"/>
  <c r="E13" i="14"/>
  <c r="C22" i="7"/>
  <c r="C14" i="14"/>
  <c r="F10" i="18"/>
  <c r="C4" i="20"/>
  <c r="C5" i="20" s="1"/>
  <c r="C6" i="20" s="1"/>
  <c r="F18" i="10"/>
  <c r="E24" i="4"/>
  <c r="E49" i="7" s="1"/>
  <c r="D4" i="20"/>
  <c r="C20" i="10"/>
  <c r="F19" i="10"/>
  <c r="I9" i="18"/>
  <c r="K11" i="18"/>
  <c r="I10" i="7"/>
  <c r="I33" i="4"/>
  <c r="H10" i="13"/>
  <c r="I10" i="13"/>
  <c r="J10" i="7"/>
  <c r="J33" i="4"/>
  <c r="H9" i="7" l="1"/>
  <c r="H11" i="7" s="1"/>
  <c r="H40" i="7" s="1"/>
  <c r="D47" i="7"/>
  <c r="D17" i="14"/>
  <c r="G20" i="4"/>
  <c r="G22" i="4" s="1"/>
  <c r="F4" i="20" s="1"/>
  <c r="F5" i="20" s="1"/>
  <c r="F6" i="20" s="1"/>
  <c r="F12" i="18"/>
  <c r="C46" i="7"/>
  <c r="C48" i="7" s="1"/>
  <c r="C41" i="7"/>
  <c r="C42" i="7" s="1"/>
  <c r="C34" i="7"/>
  <c r="E14" i="14"/>
  <c r="C15" i="14"/>
  <c r="G10" i="18"/>
  <c r="F20" i="10"/>
  <c r="F24" i="4"/>
  <c r="F49" i="7" s="1"/>
  <c r="E4" i="20"/>
  <c r="E5" i="20" s="1"/>
  <c r="E6" i="20" s="1"/>
  <c r="D5" i="20"/>
  <c r="D6" i="20" s="1"/>
  <c r="K33" i="4"/>
  <c r="J10" i="13"/>
  <c r="J9" i="18"/>
  <c r="K9" i="18"/>
  <c r="K10" i="7"/>
  <c r="I9" i="7" l="1"/>
  <c r="I11" i="7" s="1"/>
  <c r="J9" i="7" s="1"/>
  <c r="J11" i="7" s="1"/>
  <c r="J40" i="7" s="1"/>
  <c r="D18" i="14"/>
  <c r="G12" i="18"/>
  <c r="H20" i="4"/>
  <c r="H12" i="18" s="1"/>
  <c r="E15" i="14"/>
  <c r="C16" i="14"/>
  <c r="H10" i="18"/>
  <c r="G24" i="4"/>
  <c r="G49" i="7" s="1"/>
  <c r="I40" i="7" l="1"/>
  <c r="K9" i="7"/>
  <c r="K11" i="7" s="1"/>
  <c r="K40" i="7" s="1"/>
  <c r="D19" i="14"/>
  <c r="H22" i="4"/>
  <c r="G4" i="20" s="1"/>
  <c r="G5" i="20" s="1"/>
  <c r="G6" i="20" s="1"/>
  <c r="I20" i="4"/>
  <c r="I22" i="4" s="1"/>
  <c r="H4" i="20" s="1"/>
  <c r="H5" i="20" s="1"/>
  <c r="H6" i="20" s="1"/>
  <c r="E16" i="14"/>
  <c r="D27" i="4" s="1"/>
  <c r="D29" i="4" s="1"/>
  <c r="C17" i="14"/>
  <c r="I10" i="18"/>
  <c r="D20" i="14" l="1"/>
  <c r="E47" i="7" s="1"/>
  <c r="I12" i="18"/>
  <c r="K20" i="4"/>
  <c r="J20" i="4"/>
  <c r="J22" i="4" s="1"/>
  <c r="I4" i="20" s="1"/>
  <c r="I5" i="20" s="1"/>
  <c r="I6" i="20" s="1"/>
  <c r="E17" i="14"/>
  <c r="D22" i="7"/>
  <c r="C18" i="14"/>
  <c r="D14" i="18"/>
  <c r="D46" i="7"/>
  <c r="D48" i="7" s="1"/>
  <c r="D50" i="7" s="1"/>
  <c r="D31" i="4"/>
  <c r="J10" i="18"/>
  <c r="H24" i="4"/>
  <c r="H49" i="7" s="1"/>
  <c r="E20" i="18" l="1"/>
  <c r="D21" i="14"/>
  <c r="J12" i="18"/>
  <c r="D34" i="4"/>
  <c r="C7" i="13"/>
  <c r="C9" i="13" s="1"/>
  <c r="C11" i="13" s="1"/>
  <c r="C13" i="13" s="1"/>
  <c r="C14" i="13" s="1"/>
  <c r="D35" i="4" s="1"/>
  <c r="D16" i="18" s="1"/>
  <c r="E18" i="14"/>
  <c r="C19" i="14"/>
  <c r="D34" i="7"/>
  <c r="D41" i="7"/>
  <c r="D42" i="7" s="1"/>
  <c r="K10" i="18"/>
  <c r="D22" i="14" l="1"/>
  <c r="E19" i="14"/>
  <c r="C20" i="14"/>
  <c r="C7" i="20"/>
  <c r="D36" i="4"/>
  <c r="D37" i="4" s="1"/>
  <c r="K12" i="18"/>
  <c r="K22" i="4"/>
  <c r="J4" i="20" s="1"/>
  <c r="J5" i="20" s="1"/>
  <c r="J6" i="20" s="1"/>
  <c r="I24" i="4"/>
  <c r="I49" i="7" s="1"/>
  <c r="D23" i="14" l="1"/>
  <c r="D18" i="18"/>
  <c r="D27" i="18" s="1"/>
  <c r="D28" i="18" s="1"/>
  <c r="C8" i="20"/>
  <c r="E20" i="14"/>
  <c r="E27" i="4" s="1"/>
  <c r="E29" i="4" s="1"/>
  <c r="C21" i="14"/>
  <c r="D24" i="14" l="1"/>
  <c r="D25" i="14" s="1"/>
  <c r="D38" i="4"/>
  <c r="D19" i="7" s="1"/>
  <c r="E31" i="4"/>
  <c r="E46" i="7"/>
  <c r="E48" i="7" s="1"/>
  <c r="E50" i="7" s="1"/>
  <c r="E14" i="18"/>
  <c r="E21" i="14"/>
  <c r="C22" i="14"/>
  <c r="E22" i="7"/>
  <c r="F47" i="7" l="1"/>
  <c r="F20" i="18"/>
  <c r="D26" i="14"/>
  <c r="D27" i="14" s="1"/>
  <c r="D28" i="14" s="1"/>
  <c r="D29" i="14" s="1"/>
  <c r="E34" i="7"/>
  <c r="E41" i="7"/>
  <c r="E42" i="7" s="1"/>
  <c r="E22" i="14"/>
  <c r="C23" i="14"/>
  <c r="E34" i="4"/>
  <c r="D7" i="13"/>
  <c r="D9" i="13" s="1"/>
  <c r="D11" i="13" s="1"/>
  <c r="D13" i="13" s="1"/>
  <c r="D14" i="13" s="1"/>
  <c r="E35" i="4" s="1"/>
  <c r="E16" i="18" s="1"/>
  <c r="J24" i="4"/>
  <c r="J3" i="15"/>
  <c r="K3" i="15"/>
  <c r="G47" i="7" l="1"/>
  <c r="G20" i="18"/>
  <c r="D30" i="14"/>
  <c r="D31" i="14" s="1"/>
  <c r="D32" i="14" s="1"/>
  <c r="D33" i="14" s="1"/>
  <c r="D7" i="20"/>
  <c r="E36" i="4"/>
  <c r="E37" i="4" s="1"/>
  <c r="E23" i="14"/>
  <c r="C24" i="14"/>
  <c r="J31" i="4"/>
  <c r="J34" i="4" s="1"/>
  <c r="J49" i="7"/>
  <c r="K24" i="4"/>
  <c r="H47" i="7" l="1"/>
  <c r="H20" i="18"/>
  <c r="D34" i="14"/>
  <c r="D35" i="14" s="1"/>
  <c r="D36" i="14" s="1"/>
  <c r="E24" i="14"/>
  <c r="F27" i="4" s="1"/>
  <c r="F29" i="4" s="1"/>
  <c r="C25" i="14"/>
  <c r="E18" i="18"/>
  <c r="E27" i="18" s="1"/>
  <c r="E28" i="18" s="1"/>
  <c r="D8" i="20"/>
  <c r="I7" i="20"/>
  <c r="I7" i="13"/>
  <c r="I9" i="13" s="1"/>
  <c r="I11" i="13" s="1"/>
  <c r="I13" i="13" s="1"/>
  <c r="I14" i="13" s="1"/>
  <c r="J35" i="4" s="1"/>
  <c r="J16" i="18" s="1"/>
  <c r="K31" i="4"/>
  <c r="K34" i="4" s="1"/>
  <c r="K49" i="7"/>
  <c r="I20" i="18" l="1"/>
  <c r="I47" i="7"/>
  <c r="E38" i="4"/>
  <c r="E19" i="7" s="1"/>
  <c r="F46" i="7"/>
  <c r="F48" i="7" s="1"/>
  <c r="F50" i="7" s="1"/>
  <c r="F31" i="4"/>
  <c r="F14" i="18"/>
  <c r="E25" i="14"/>
  <c r="F22" i="7"/>
  <c r="C26" i="14"/>
  <c r="J7" i="20"/>
  <c r="J36" i="4"/>
  <c r="J37" i="4" s="1"/>
  <c r="J7" i="13"/>
  <c r="J9" i="13" s="1"/>
  <c r="J11" i="13" s="1"/>
  <c r="J13" i="13" s="1"/>
  <c r="J14" i="13" s="1"/>
  <c r="K35" i="4" s="1"/>
  <c r="E26" i="14" l="1"/>
  <c r="C27" i="14"/>
  <c r="F34" i="7"/>
  <c r="F41" i="7"/>
  <c r="F42" i="7" s="1"/>
  <c r="F34" i="4"/>
  <c r="E7" i="13"/>
  <c r="E9" i="13" s="1"/>
  <c r="E11" i="13" s="1"/>
  <c r="E13" i="13" s="1"/>
  <c r="E14" i="13" s="1"/>
  <c r="F35" i="4" s="1"/>
  <c r="F16" i="18" s="1"/>
  <c r="J38" i="4"/>
  <c r="J19" i="7" s="1"/>
  <c r="I8" i="20"/>
  <c r="K36" i="4"/>
  <c r="K37" i="4" s="1"/>
  <c r="K16" i="18"/>
  <c r="C28" i="14" l="1"/>
  <c r="E27" i="14"/>
  <c r="E7" i="20"/>
  <c r="F36" i="4"/>
  <c r="F37" i="4" s="1"/>
  <c r="J18" i="18"/>
  <c r="J27" i="18" s="1"/>
  <c r="K38" i="4"/>
  <c r="K19" i="7" s="1"/>
  <c r="J8" i="20"/>
  <c r="F18" i="18" l="1"/>
  <c r="F27" i="18" s="1"/>
  <c r="F28" i="18" s="1"/>
  <c r="E8" i="20"/>
  <c r="C29" i="14"/>
  <c r="E28" i="14"/>
  <c r="G27" i="4" s="1"/>
  <c r="G29" i="4" s="1"/>
  <c r="G22" i="7"/>
  <c r="J28" i="18"/>
  <c r="K18" i="18"/>
  <c r="K27" i="18" s="1"/>
  <c r="F38" i="4" l="1"/>
  <c r="F19" i="7" s="1"/>
  <c r="G41" i="7"/>
  <c r="G42" i="7" s="1"/>
  <c r="G34" i="7"/>
  <c r="C30" i="14"/>
  <c r="E29" i="14"/>
  <c r="G14" i="18"/>
  <c r="G46" i="7"/>
  <c r="G48" i="7" s="1"/>
  <c r="G50" i="7" s="1"/>
  <c r="G31" i="4"/>
  <c r="K28" i="18"/>
  <c r="G34" i="4" l="1"/>
  <c r="F7" i="13"/>
  <c r="F9" i="13" s="1"/>
  <c r="F11" i="13" s="1"/>
  <c r="F13" i="13" s="1"/>
  <c r="F14" i="13" s="1"/>
  <c r="G35" i="4" s="1"/>
  <c r="G16" i="18" s="1"/>
  <c r="E30" i="14"/>
  <c r="C31" i="14"/>
  <c r="C32" i="14" l="1"/>
  <c r="E31" i="14"/>
  <c r="F7" i="20"/>
  <c r="G36" i="4"/>
  <c r="G37" i="4" s="1"/>
  <c r="G18" i="18" l="1"/>
  <c r="G27" i="18" s="1"/>
  <c r="G28" i="18" s="1"/>
  <c r="F8" i="20"/>
  <c r="C33" i="14"/>
  <c r="E32" i="14"/>
  <c r="H27" i="4" s="1"/>
  <c r="H29" i="4" s="1"/>
  <c r="H22" i="7"/>
  <c r="G38" i="4" l="1"/>
  <c r="G19" i="7" s="1"/>
  <c r="H46" i="7"/>
  <c r="H48" i="7" s="1"/>
  <c r="H50" i="7" s="1"/>
  <c r="H31" i="4"/>
  <c r="H14" i="18"/>
  <c r="H34" i="7"/>
  <c r="H41" i="7"/>
  <c r="F43" i="7" s="1"/>
  <c r="E33" i="14"/>
  <c r="C34" i="14"/>
  <c r="C35" i="14" l="1"/>
  <c r="E34" i="14"/>
  <c r="H34" i="4"/>
  <c r="G7" i="13"/>
  <c r="G9" i="13" s="1"/>
  <c r="G11" i="13" s="1"/>
  <c r="G13" i="13" s="1"/>
  <c r="G14" i="13" s="1"/>
  <c r="H35" i="4" s="1"/>
  <c r="H16" i="18" s="1"/>
  <c r="G7" i="20" l="1"/>
  <c r="H36" i="4"/>
  <c r="H37" i="4" s="1"/>
  <c r="C36" i="14"/>
  <c r="E36" i="14" s="1"/>
  <c r="E35" i="14"/>
  <c r="I27" i="4" l="1"/>
  <c r="I29" i="4" s="1"/>
  <c r="I14" i="18" s="1"/>
  <c r="H18" i="18"/>
  <c r="H27" i="18" s="1"/>
  <c r="H28" i="18" s="1"/>
  <c r="G8" i="20"/>
  <c r="I31" i="4" l="1"/>
  <c r="I34" i="4" s="1"/>
  <c r="I46" i="7"/>
  <c r="I48" i="7" s="1"/>
  <c r="H38" i="4"/>
  <c r="H19" i="7" s="1"/>
  <c r="H7" i="13" l="1"/>
  <c r="H9" i="13" s="1"/>
  <c r="H11" i="13" s="1"/>
  <c r="H13" i="13" s="1"/>
  <c r="H14" i="13" s="1"/>
  <c r="I35" i="4" s="1"/>
  <c r="I16" i="18" s="1"/>
  <c r="H7" i="20"/>
  <c r="I36" i="4" l="1"/>
  <c r="I37" i="4" s="1"/>
  <c r="H8" i="20" l="1"/>
  <c r="I18" i="18"/>
  <c r="I27" i="18" s="1"/>
  <c r="I28" i="18" s="1"/>
  <c r="I38" i="4"/>
  <c r="I19" i="7" s="1"/>
  <c r="C12" i="18"/>
  <c r="C15" i="18" s="1"/>
  <c r="C22" i="4"/>
  <c r="C24" i="4" l="1"/>
  <c r="B4" i="20"/>
  <c r="B5" i="20" s="1"/>
  <c r="B6" i="20" s="1"/>
  <c r="C49" i="7" l="1"/>
  <c r="C50" i="7" s="1"/>
  <c r="F51" i="7" s="1"/>
  <c r="C31" i="4"/>
  <c r="C34" i="4" s="1"/>
  <c r="B7" i="13" l="1"/>
  <c r="B9" i="13" s="1"/>
  <c r="B11" i="13" s="1"/>
  <c r="B13" i="13" s="1"/>
  <c r="B14" i="13" s="1"/>
  <c r="C35" i="4" s="1"/>
  <c r="C16" i="18" s="1"/>
  <c r="C17" i="18" l="1"/>
  <c r="C36" i="4"/>
  <c r="C37" i="4" s="1"/>
  <c r="B7" i="20"/>
  <c r="B8" i="20" l="1"/>
  <c r="C18" i="18" l="1"/>
  <c r="C27" i="18" s="1"/>
  <c r="C38" i="4"/>
  <c r="C19" i="7" s="1"/>
  <c r="C21" i="7" s="1"/>
  <c r="C35" i="7" l="1"/>
  <c r="C36" i="7" s="1"/>
  <c r="C25" i="7"/>
  <c r="D18" i="7"/>
  <c r="D21" i="7" s="1"/>
  <c r="C19" i="18"/>
  <c r="C21" i="18" s="1"/>
  <c r="C14" i="7" s="1"/>
  <c r="D4" i="18" l="1"/>
  <c r="D15" i="18" s="1"/>
  <c r="C30" i="18"/>
  <c r="C31" i="18" s="1"/>
  <c r="C28" i="18"/>
  <c r="E18" i="7"/>
  <c r="E21" i="7" s="1"/>
  <c r="D25" i="7"/>
  <c r="D35" i="7"/>
  <c r="D36" i="7" s="1"/>
  <c r="E35" i="7" l="1"/>
  <c r="E36" i="7" s="1"/>
  <c r="F18" i="7"/>
  <c r="F21" i="7" s="1"/>
  <c r="E25" i="7"/>
  <c r="D25" i="18"/>
  <c r="D17" i="18"/>
  <c r="D19" i="18" s="1"/>
  <c r="D21" i="18" s="1"/>
  <c r="C15" i="7"/>
  <c r="C28" i="7"/>
  <c r="C30" i="7" s="1"/>
  <c r="E4" i="18" l="1"/>
  <c r="E15" i="18" s="1"/>
  <c r="D14" i="7"/>
  <c r="D30" i="18"/>
  <c r="D31" i="18" s="1"/>
  <c r="D26" i="18"/>
  <c r="F35" i="7"/>
  <c r="F36" i="7" s="1"/>
  <c r="F25" i="7"/>
  <c r="G18" i="7"/>
  <c r="G21" i="7" s="1"/>
  <c r="G35" i="7" l="1"/>
  <c r="G36" i="7" s="1"/>
  <c r="G25" i="7"/>
  <c r="H18" i="7"/>
  <c r="H21" i="7" s="1"/>
  <c r="D28" i="7"/>
  <c r="D30" i="7" s="1"/>
  <c r="D15" i="7"/>
  <c r="E17" i="18"/>
  <c r="E19" i="18" s="1"/>
  <c r="E21" i="18" s="1"/>
  <c r="E25" i="18"/>
  <c r="E14" i="7" l="1"/>
  <c r="F4" i="18"/>
  <c r="E26" i="18"/>
  <c r="E30" i="18"/>
  <c r="E31" i="18" s="1"/>
  <c r="I18" i="7"/>
  <c r="I21" i="7" s="1"/>
  <c r="H25" i="7"/>
  <c r="H35" i="7"/>
  <c r="H36" i="7" s="1"/>
  <c r="J18" i="7" l="1"/>
  <c r="J21" i="7" s="1"/>
  <c r="I35" i="7"/>
  <c r="I36" i="7" s="1"/>
  <c r="I25" i="7"/>
  <c r="F25" i="18"/>
  <c r="F15" i="18"/>
  <c r="F17" i="18" s="1"/>
  <c r="F19" i="18" s="1"/>
  <c r="F21" i="18" s="1"/>
  <c r="E28" i="7"/>
  <c r="E30" i="7" s="1"/>
  <c r="E15" i="7"/>
  <c r="F14" i="7" l="1"/>
  <c r="G4" i="18"/>
  <c r="F30" i="18"/>
  <c r="F31" i="18" s="1"/>
  <c r="F26" i="18"/>
  <c r="J25" i="7"/>
  <c r="K18" i="7"/>
  <c r="K21" i="7" s="1"/>
  <c r="J35" i="7"/>
  <c r="J36" i="7" s="1"/>
  <c r="K35" i="7" l="1"/>
  <c r="K36" i="7" s="1"/>
  <c r="F37" i="7" s="1"/>
  <c r="K25" i="7"/>
  <c r="G15" i="18"/>
  <c r="G17" i="18" s="1"/>
  <c r="G19" i="18" s="1"/>
  <c r="G21" i="18" s="1"/>
  <c r="G25" i="18"/>
  <c r="F15" i="7"/>
  <c r="F28" i="7"/>
  <c r="F30" i="7" s="1"/>
  <c r="G30" i="18" l="1"/>
  <c r="G31" i="18" s="1"/>
  <c r="G26" i="18"/>
  <c r="H4" i="18"/>
  <c r="G14" i="7"/>
  <c r="G28" i="7" l="1"/>
  <c r="G30" i="7" s="1"/>
  <c r="G15" i="7"/>
  <c r="H25" i="18"/>
  <c r="H15" i="18"/>
  <c r="H17" i="18" s="1"/>
  <c r="H19" i="18" s="1"/>
  <c r="H21" i="18" s="1"/>
  <c r="H26" i="18" l="1"/>
  <c r="H30" i="18"/>
  <c r="H31" i="18" s="1"/>
  <c r="I4" i="18"/>
  <c r="H14" i="7"/>
  <c r="H15" i="7" l="1"/>
  <c r="H28" i="7"/>
  <c r="H30" i="7" s="1"/>
  <c r="I25" i="18"/>
  <c r="I15" i="18"/>
  <c r="I17" i="18" s="1"/>
  <c r="I19" i="18" s="1"/>
  <c r="I21" i="18" s="1"/>
  <c r="J4" i="18" l="1"/>
  <c r="I14" i="7"/>
  <c r="I26" i="18"/>
  <c r="I30" i="18"/>
  <c r="I31" i="18" s="1"/>
  <c r="I15" i="7" l="1"/>
  <c r="I28" i="7"/>
  <c r="I30" i="7" s="1"/>
  <c r="J25" i="18"/>
  <c r="J15" i="18"/>
  <c r="J17" i="18" s="1"/>
  <c r="J19" i="18" s="1"/>
  <c r="J21" i="18" s="1"/>
  <c r="K4" i="18" l="1"/>
  <c r="J14" i="7"/>
  <c r="J30" i="18"/>
  <c r="J31" i="18" s="1"/>
  <c r="J26" i="18"/>
  <c r="J15" i="7" l="1"/>
  <c r="J28" i="7"/>
  <c r="J30" i="7" s="1"/>
  <c r="K25" i="18"/>
  <c r="K15" i="18"/>
  <c r="K17" i="18" s="1"/>
  <c r="K19" i="18" s="1"/>
  <c r="K21" i="18" s="1"/>
  <c r="K14" i="7" s="1"/>
  <c r="K28" i="7" l="1"/>
  <c r="K30" i="7" s="1"/>
  <c r="F31" i="7" s="1"/>
  <c r="K15" i="7"/>
  <c r="K30" i="18"/>
  <c r="K31" i="18" s="1"/>
  <c r="L31" i="18" s="1"/>
  <c r="K26" i="18"/>
</calcChain>
</file>

<file path=xl/sharedStrings.xml><?xml version="1.0" encoding="utf-8"?>
<sst xmlns="http://schemas.openxmlformats.org/spreadsheetml/2006/main" count="500" uniqueCount="340">
  <si>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</si>
  <si>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</si>
  <si>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</si>
  <si>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</si>
  <si>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</si>
  <si>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</si>
  <si>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</si>
  <si>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</si>
  <si>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</si>
  <si>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</si>
  <si>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</si>
  <si>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</si>
  <si>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</si>
  <si>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</si>
  <si>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</si>
  <si>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</si>
  <si>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</si>
  <si>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</si>
  <si>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</si>
  <si>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</si>
  <si>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</si>
  <si>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</si>
  <si>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</si>
  <si>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</si>
  <si>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</si>
  <si>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</si>
  <si>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</si>
  <si>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</si>
  <si>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</si>
  <si>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</si>
  <si>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</si>
  <si>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</si>
  <si>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</si>
  <si>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</si>
  <si>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</si>
  <si>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</si>
  <si>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</si>
  <si>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</si>
  <si>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</si>
  <si>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</si>
  <si>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</si>
  <si>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</si>
  <si>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</si>
  <si>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</si>
  <si>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</si>
  <si>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</si>
  <si>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</si>
  <si>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</si>
  <si>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</si>
  <si>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</si>
  <si>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</si>
  <si>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</si>
  <si>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</si>
  <si>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</si>
  <si>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</si>
  <si>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</si>
  <si>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</si>
  <si>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</si>
  <si>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</si>
  <si>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</si>
  <si>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</si>
  <si>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</si>
  <si>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</si>
  <si>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</si>
  <si>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</si>
  <si>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</si>
  <si>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</si>
  <si>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</si>
  <si>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</si>
  <si>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</si>
  <si>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</si>
  <si>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</si>
  <si>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</si>
  <si>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</si>
  <si>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</si>
  <si>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</si>
  <si>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</si>
  <si>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</si>
  <si>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</si>
  <si>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</si>
  <si>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</si>
  <si>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</si>
  <si>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</si>
  <si>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</si>
  <si>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</si>
  <si>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</si>
  <si>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</si>
  <si>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</si>
  <si>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</si>
  <si>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</si>
  <si>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</si>
  <si>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</si>
  <si>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</si>
  <si>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</si>
  <si>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</si>
  <si>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</si>
  <si>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</si>
  <si>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</si>
  <si>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</si>
  <si>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</si>
  <si>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</si>
  <si>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</si>
  <si>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</si>
  <si>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</si>
  <si>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</si>
  <si>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</si>
  <si>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</si>
  <si>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</si>
  <si>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</si>
  <si>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</si>
  <si>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</si>
  <si>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</si>
  <si>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</si>
  <si>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</si>
  <si>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</si>
  <si>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</si>
  <si>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</si>
  <si>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</si>
  <si>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</si>
  <si>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</si>
  <si>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</si>
  <si>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</si>
  <si>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</si>
  <si>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</si>
  <si>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</si>
  <si>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</si>
  <si>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</si>
  <si>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</si>
  <si>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</si>
  <si>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</si>
  <si>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</si>
  <si>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</si>
  <si>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</si>
  <si>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</si>
  <si>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</si>
  <si>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</si>
  <si>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</si>
  <si>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</si>
  <si>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</si>
  <si>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</si>
  <si>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</si>
  <si>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</si>
  <si>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</si>
  <si>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</si>
  <si>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</si>
  <si>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</si>
  <si>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</si>
  <si>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</si>
  <si>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</si>
  <si>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</si>
  <si>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</si>
  <si>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</si>
  <si>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</si>
  <si>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</si>
  <si>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</si>
  <si>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</si>
  <si>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</si>
  <si>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</si>
  <si>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</si>
  <si>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</si>
  <si>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</si>
  <si>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</si>
  <si>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</si>
  <si>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</si>
  <si>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</si>
  <si>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</si>
  <si>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</si>
  <si>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</si>
  <si>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Electricity expense</t>
  </si>
  <si>
    <t>Usage in units</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</si>
  <si>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</si>
  <si>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</si>
  <si>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</si>
  <si>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</si>
  <si>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</si>
  <si>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</si>
  <si>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</si>
  <si>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</si>
  <si>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</si>
  <si>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</si>
  <si>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</si>
  <si>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</si>
  <si>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</si>
  <si>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</si>
  <si>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</si>
  <si>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</si>
  <si>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</si>
  <si>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</si>
  <si>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</si>
  <si>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</si>
  <si>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</si>
  <si>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</si>
  <si>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</si>
  <si>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</si>
  <si>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</si>
  <si>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</si>
  <si>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</si>
  <si>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</si>
  <si>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</si>
  <si>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</si>
  <si>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</si>
  <si>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</si>
  <si>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</si>
  <si>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</si>
  <si>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</si>
  <si>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</si>
  <si>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</si>
  <si>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</si>
  <si>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</si>
  <si>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</si>
  <si>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</si>
  <si>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</si>
  <si>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</si>
  <si>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</si>
  <si>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</si>
  <si>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</si>
  <si>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</si>
  <si>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iv.</t>
  </si>
  <si>
    <t>Annual cost</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</si>
  <si>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</si>
  <si>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</si>
  <si>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</si>
  <si>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</si>
  <si>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</si>
  <si>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</si>
  <si>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</si>
  <si>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</si>
  <si>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</si>
  <si>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</si>
  <si>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</si>
  <si>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</si>
  <si>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</si>
  <si>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</si>
  <si>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</si>
  <si>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</si>
  <si>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</si>
  <si>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</si>
  <si>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</si>
  <si>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1. Civil Work</t>
  </si>
  <si>
    <t>Total Civil Work</t>
  </si>
  <si>
    <t>Per annum capacity in kgs</t>
  </si>
  <si>
    <t>Estimated ocupational capacity</t>
  </si>
  <si>
    <t>Less: Pre incorporation expense</t>
  </si>
  <si>
    <t>Electricity fixed charge</t>
  </si>
  <si>
    <t>Less: Fixed costs</t>
  </si>
  <si>
    <t>Service Centre Infrastructure</t>
  </si>
  <si>
    <t>Civil work for building</t>
  </si>
  <si>
    <t>Factory manager</t>
  </si>
  <si>
    <t>Accountant cum cashier</t>
  </si>
  <si>
    <t>Mechanic</t>
  </si>
  <si>
    <t xml:space="preserve">v. </t>
  </si>
  <si>
    <t>Labour</t>
  </si>
  <si>
    <t>Add: benefits @ 10%</t>
  </si>
  <si>
    <t>Insurance cost @ 2% of purchase cost</t>
  </si>
  <si>
    <t>It is assumed that insuarance cost is 2% of purchase price and this will increase 5% annually</t>
  </si>
  <si>
    <t>Add: Opening Stock</t>
  </si>
  <si>
    <t>Less: Closing Stock</t>
  </si>
  <si>
    <t>Operational days</t>
  </si>
  <si>
    <t>sales prices per kg</t>
  </si>
  <si>
    <t>Estimation of Production capacity</t>
  </si>
  <si>
    <t>Opening Stock</t>
  </si>
  <si>
    <t>Production</t>
  </si>
  <si>
    <t>Closing Stock</t>
  </si>
  <si>
    <t>Less: Land purchase</t>
  </si>
  <si>
    <t>Closing stock</t>
  </si>
  <si>
    <t>Total revenue</t>
  </si>
  <si>
    <t>Total Financial expense</t>
  </si>
  <si>
    <t>Electricity cost</t>
  </si>
  <si>
    <t>Running and maintenance</t>
  </si>
  <si>
    <t>Interest on working capital</t>
  </si>
  <si>
    <t>Contribution per unit</t>
  </si>
  <si>
    <t>Fixed charges for office</t>
  </si>
  <si>
    <t>Fixed charge for office</t>
  </si>
  <si>
    <t>2. Electricity usage in units is given below</t>
  </si>
  <si>
    <t>3. It is assumed that insuarance cost is 2% of purchase price and this will increase 5% annually</t>
  </si>
  <si>
    <t>See note</t>
  </si>
  <si>
    <t>Note- It is assumed that some of the labour remains even in the off days, considering working days to be 300 days</t>
  </si>
  <si>
    <t>2. assumed that 30 days of sales are average debtors maintained by the business</t>
  </si>
  <si>
    <t>Annexure 14 - Cash flow statement</t>
  </si>
  <si>
    <t>A.</t>
  </si>
  <si>
    <t>B.</t>
  </si>
  <si>
    <t>C.</t>
  </si>
  <si>
    <t>D.</t>
  </si>
  <si>
    <t>E.</t>
  </si>
  <si>
    <t>F.</t>
  </si>
  <si>
    <t>G.</t>
  </si>
  <si>
    <t>H.</t>
  </si>
  <si>
    <t>I.</t>
  </si>
  <si>
    <t>Production capacity (kgs) [A. X Total capacity]</t>
  </si>
  <si>
    <t>Ann 14'!A1</t>
  </si>
  <si>
    <t>Income Tax/ savings on tax</t>
  </si>
  <si>
    <t>Assumed that 30 days of sales are average debtors maintained by the business</t>
  </si>
  <si>
    <t>Insurance</t>
  </si>
  <si>
    <t>1. asssumed that 60 days of purchases are average creditors maintained</t>
  </si>
  <si>
    <t>Asssumed that 60 days of purchases are average creditors maintained</t>
  </si>
  <si>
    <t>For the first year of operation the break-even capacity comes at 9.59%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</si>
  <si>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Distribution of profits (80%)</t>
  </si>
  <si>
    <t>Cotton seed oil</t>
  </si>
  <si>
    <t>Automatic raw cotton pre cleaner machine</t>
  </si>
  <si>
    <t>Automatic revolving cotton baling press</t>
  </si>
  <si>
    <t>20 - 25 bales/hr</t>
  </si>
  <si>
    <t>Lint cleaner machine</t>
  </si>
  <si>
    <t>Automatic cotton oilseed expeller</t>
  </si>
  <si>
    <t>5 ton per day</t>
  </si>
  <si>
    <t>Electric motor/ transformer motor/ fitting</t>
  </si>
  <si>
    <t>Packing machine</t>
  </si>
  <si>
    <t>Testing equipment, PH meter, Furnance</t>
  </si>
  <si>
    <t>No of shifts</t>
  </si>
  <si>
    <t>Cotton production</t>
  </si>
  <si>
    <t>Seed production</t>
  </si>
  <si>
    <t>Oil production</t>
  </si>
  <si>
    <t>Sale - Cotton</t>
  </si>
  <si>
    <t>Sale - Oil</t>
  </si>
  <si>
    <t>Pure Cotton</t>
  </si>
  <si>
    <t>Purchase price per kg</t>
  </si>
  <si>
    <t>Raw Cotton</t>
  </si>
  <si>
    <t>Input cotton cost</t>
  </si>
  <si>
    <t>Cotton seed cake</t>
  </si>
  <si>
    <t>Sale - Cotton seed cake</t>
  </si>
  <si>
    <t>J.</t>
  </si>
  <si>
    <t>Production Budget - Cotton</t>
  </si>
  <si>
    <t>Production Budget - Cotton seed oil</t>
  </si>
  <si>
    <t>Production Budget - Cotton seed oil cake</t>
  </si>
  <si>
    <t>Value of closing stock</t>
  </si>
  <si>
    <t>Transportation charges</t>
  </si>
  <si>
    <t>Cotton</t>
  </si>
  <si>
    <t>Cotton seed oil cake</t>
  </si>
  <si>
    <t>Input raw cotton cost</t>
  </si>
  <si>
    <t>Contribution margin</t>
  </si>
  <si>
    <t>Transportation fixed charges</t>
  </si>
  <si>
    <t>Packaging charges</t>
  </si>
  <si>
    <t>Packing cost for Oil @ Rs. 3 per kg</t>
  </si>
  <si>
    <t>Sales mix</t>
  </si>
  <si>
    <t>Proportionate Contribution margin</t>
  </si>
  <si>
    <t xml:space="preserve">BEP in Rs. </t>
  </si>
  <si>
    <t>BEP in %</t>
  </si>
  <si>
    <t>1. Electricity are semi-fixed cost. Rs. 500,000 pa is fixed, balance is variable at Rs. 14 per unit usage</t>
  </si>
  <si>
    <t>Electricity are semi-fixed cost. Rs. 500,000 pa is fixed, balance is variable at Rs. 14 per unit usage</t>
  </si>
  <si>
    <t>Running and Manintenance expense @12.5% of sales</t>
  </si>
  <si>
    <t>Cotton baling press machine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</si>
</sst>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_);_(* \(#,##0.000\);_(* &quot;-&quot;??_);_(@_)"/>
    <numFmt numFmtId="169" formatCode="_(* #,##0.0000_);_(* \(#,##0.0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0"/>
      <name val="Adobe Devanagari"/>
      <family val="1"/>
    </font>
    <font>
      <u/>
      <sz val="11"/>
      <color theme="1"/>
      <name val="Adobe Devanagari"/>
      <family val="1"/>
    </font>
    <font>
      <sz val="11"/>
      <name val="Adobe Devanagari"/>
      <family val="1"/>
    </font>
    <font>
      <sz val="11"/>
      <color theme="0"/>
      <name val="Adobe Devanagari"/>
      <family val="1"/>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43">
    <xf numFmtId="0" fontId="0" fillId="0" borderId="0" xfId="0"/>
    <xf numFmtId="2" fontId="0" fillId="0" borderId="0" xfId="0" applyNumberFormat="1"/>
    <xf numFmtId="0" fontId="3" fillId="0" borderId="0" xfId="0" applyFont="1"/>
    <xf numFmtId="0" fontId="2" fillId="0" borderId="0" xfId="0" applyFont="1"/>
    <xf numFmtId="0" fontId="0" fillId="0" borderId="0" xfId="0" quotePrefix="1"/>
    <xf numFmtId="167" fontId="0" fillId="0" borderId="0" xfId="0" applyNumberFormat="1"/>
    <xf numFmtId="43" fontId="0" fillId="0" borderId="0" xfId="1" applyFont="1"/>
    <xf numFmtId="0" fontId="5" fillId="0" borderId="0" xfId="0" applyFont="1"/>
    <xf numFmtId="0" fontId="6" fillId="0" borderId="0" xfId="0" applyFont="1"/>
    <xf numFmtId="0" fontId="6" fillId="0" borderId="1" xfId="0" applyFont="1" applyBorder="1"/>
    <xf numFmtId="0" fontId="7" fillId="0" borderId="1" xfId="3" quotePrefix="1" applyFont="1" applyBorder="1"/>
    <xf numFmtId="0" fontId="7" fillId="0" borderId="1" xfId="3" applyFont="1" applyBorder="1"/>
    <xf numFmtId="0" fontId="5" fillId="3" borderId="1" xfId="0" applyFont="1" applyFill="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0" fontId="6" fillId="0" borderId="11" xfId="0" applyFont="1" applyBorder="1" applyAlignment="1">
      <alignment wrapText="1"/>
    </xf>
    <xf numFmtId="168" fontId="6" fillId="0" borderId="9" xfId="1" applyNumberFormat="1" applyFont="1" applyBorder="1"/>
    <xf numFmtId="43" fontId="6" fillId="0" borderId="0" xfId="0" applyNumberFormat="1" applyFont="1"/>
    <xf numFmtId="0" fontId="6" fillId="0" borderId="12" xfId="0" applyFont="1" applyBorder="1" applyAlignment="1">
      <alignment horizontal="left"/>
    </xf>
    <xf numFmtId="0" fontId="6" fillId="0" borderId="12" xfId="0" applyFont="1" applyBorder="1"/>
    <xf numFmtId="43" fontId="6" fillId="0" borderId="10" xfId="0" applyNumberFormat="1" applyFont="1" applyBorder="1"/>
    <xf numFmtId="0" fontId="6" fillId="0" borderId="0" xfId="0" applyFont="1" applyAlignment="1">
      <alignment horizontal="left"/>
    </xf>
    <xf numFmtId="0" fontId="8" fillId="3" borderId="2" xfId="0" applyFont="1" applyFill="1" applyBorder="1"/>
    <xf numFmtId="0" fontId="6" fillId="3" borderId="3" xfId="0" applyFont="1" applyFill="1" applyBorder="1"/>
    <xf numFmtId="0" fontId="6" fillId="3" borderId="4" xfId="0" applyFont="1" applyFill="1" applyBorder="1"/>
    <xf numFmtId="0" fontId="6" fillId="3" borderId="1" xfId="0" applyFont="1" applyFill="1" applyBorder="1"/>
    <xf numFmtId="0" fontId="6" fillId="3" borderId="1" xfId="0" applyFont="1" applyFill="1" applyBorder="1" applyAlignment="1">
      <alignment wrapText="1"/>
    </xf>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6" fillId="0" borderId="5" xfId="0" applyFont="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0" fontId="5" fillId="0" borderId="2" xfId="0" applyFont="1" applyBorder="1"/>
    <xf numFmtId="0" fontId="5" fillId="0" borderId="3" xfId="0" applyFont="1" applyBorder="1"/>
    <xf numFmtId="164" fontId="5" fillId="0" borderId="4" xfId="0" applyNumberFormat="1" applyFont="1" applyBorder="1"/>
    <xf numFmtId="164" fontId="6" fillId="0" borderId="0" xfId="0" applyNumberFormat="1" applyFont="1"/>
    <xf numFmtId="0" fontId="5" fillId="3" borderId="2" xfId="0" applyFont="1" applyFill="1" applyBorder="1"/>
    <xf numFmtId="0" fontId="5" fillId="3" borderId="3" xfId="0" applyFont="1" applyFill="1" applyBorder="1"/>
    <xf numFmtId="0" fontId="5" fillId="3" borderId="4" xfId="0" applyFont="1" applyFill="1" applyBorder="1"/>
    <xf numFmtId="164" fontId="6" fillId="0" borderId="1" xfId="1" applyNumberFormat="1" applyFont="1" applyBorder="1"/>
    <xf numFmtId="0" fontId="6" fillId="0" borderId="1"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0" fontId="6" fillId="0" borderId="0" xfId="0" applyFont="1" applyFill="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5" fillId="3" borderId="1" xfId="0" applyFont="1" applyFill="1" applyBorder="1" applyAlignment="1">
      <alignment horizontal="center" vertical="center"/>
    </xf>
    <xf numFmtId="0" fontId="6" fillId="3" borderId="8" xfId="0" applyFont="1" applyFill="1" applyBorder="1"/>
    <xf numFmtId="0" fontId="6" fillId="3" borderId="0" xfId="0" applyFont="1" applyFill="1" applyBorder="1"/>
    <xf numFmtId="0" fontId="6" fillId="3" borderId="11" xfId="0" applyFont="1" applyFill="1" applyBorder="1"/>
    <xf numFmtId="0" fontId="6" fillId="3" borderId="9" xfId="0" applyFont="1" applyFill="1" applyBorder="1"/>
    <xf numFmtId="164" fontId="6" fillId="3" borderId="9" xfId="0" applyNumberFormat="1" applyFont="1" applyFill="1" applyBorder="1"/>
    <xf numFmtId="0" fontId="8" fillId="0" borderId="0" xfId="0" applyFont="1"/>
    <xf numFmtId="164" fontId="6" fillId="0" borderId="1" xfId="0" applyNumberFormat="1" applyFont="1" applyBorder="1"/>
    <xf numFmtId="0" fontId="6" fillId="0" borderId="6" xfId="0"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0" fontId="5" fillId="0" borderId="1" xfId="0" applyFont="1" applyBorder="1"/>
    <xf numFmtId="9" fontId="5" fillId="0" borderId="1" xfId="0"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43" fontId="6" fillId="0" borderId="1" xfId="1" applyFont="1" applyBorder="1"/>
    <xf numFmtId="0" fontId="6" fillId="3" borderId="1" xfId="0" applyFont="1" applyFill="1" applyBorder="1" applyAlignment="1">
      <alignment horizontal="center"/>
    </xf>
    <xf numFmtId="164" fontId="6" fillId="0" borderId="0" xfId="1" applyNumberFormat="1" applyFont="1"/>
    <xf numFmtId="0" fontId="6" fillId="0" borderId="0" xfId="0" quotePrefix="1" applyFont="1"/>
    <xf numFmtId="0" fontId="8" fillId="3" borderId="0" xfId="0" applyFont="1" applyFill="1"/>
    <xf numFmtId="0" fontId="6" fillId="3" borderId="0" xfId="0" applyFont="1" applyFill="1"/>
    <xf numFmtId="10" fontId="6" fillId="0" borderId="1" xfId="2" applyNumberFormat="1" applyFont="1" applyBorder="1"/>
    <xf numFmtId="167" fontId="6" fillId="0" borderId="0" xfId="0" applyNumberFormat="1" applyFont="1"/>
    <xf numFmtId="10" fontId="6" fillId="2" borderId="0" xfId="0" applyNumberFormat="1" applyFont="1" applyFill="1"/>
    <xf numFmtId="0" fontId="6" fillId="2" borderId="0" xfId="0" applyFont="1" applyFill="1" applyAlignment="1">
      <alignment horizontal="right"/>
    </xf>
    <xf numFmtId="0" fontId="9" fillId="0" borderId="0" xfId="0" applyFont="1"/>
    <xf numFmtId="164" fontId="10" fillId="0" borderId="0" xfId="1" applyNumberFormat="1" applyFont="1"/>
    <xf numFmtId="10" fontId="10" fillId="0" borderId="0" xfId="1" applyNumberFormat="1" applyFont="1"/>
    <xf numFmtId="0" fontId="10" fillId="0" borderId="0" xfId="0" applyFont="1"/>
    <xf numFmtId="166" fontId="10" fillId="0" borderId="0" xfId="1" applyNumberFormat="1" applyFont="1"/>
    <xf numFmtId="9" fontId="6" fillId="0" borderId="1" xfId="0" applyNumberFormat="1" applyFont="1" applyBorder="1" applyAlignment="1">
      <alignment horizontal="center"/>
    </xf>
    <xf numFmtId="164" fontId="6" fillId="0" borderId="1" xfId="1" applyNumberFormat="1" applyFont="1" applyBorder="1" applyAlignment="1">
      <alignment horizontal="right"/>
    </xf>
    <xf numFmtId="164" fontId="6" fillId="0" borderId="0" xfId="1" applyNumberFormat="1" applyFont="1" applyAlignment="1">
      <alignment horizontal="right"/>
    </xf>
    <xf numFmtId="0" fontId="6" fillId="0" borderId="1" xfId="0" applyFont="1" applyBorder="1" applyAlignment="1">
      <alignment vertical="top"/>
    </xf>
    <xf numFmtId="0" fontId="6" fillId="0" borderId="0" xfId="0" applyFont="1" applyAlignment="1">
      <alignment vertical="top"/>
    </xf>
    <xf numFmtId="164" fontId="6" fillId="0" borderId="1" xfId="0" applyNumberFormat="1" applyFont="1" applyBorder="1" applyAlignment="1">
      <alignment vertical="top"/>
    </xf>
    <xf numFmtId="165" fontId="6" fillId="0" borderId="1" xfId="0" applyNumberFormat="1" applyFont="1" applyBorder="1" applyAlignment="1">
      <alignment vertical="top" wrapText="1"/>
    </xf>
    <xf numFmtId="0" fontId="5" fillId="0" borderId="0" xfId="0" applyFont="1" applyAlignment="1">
      <alignment vertical="top"/>
    </xf>
    <xf numFmtId="0" fontId="5" fillId="0" borderId="1" xfId="0" applyFont="1" applyBorder="1" applyAlignment="1">
      <alignment vertical="top"/>
    </xf>
    <xf numFmtId="0" fontId="5" fillId="0" borderId="1" xfId="0" applyFont="1" applyBorder="1" applyAlignment="1">
      <alignment vertical="top" wrapText="1"/>
    </xf>
    <xf numFmtId="169" fontId="6" fillId="0" borderId="0" xfId="0" applyNumberFormat="1" applyFont="1"/>
    <xf numFmtId="43" fontId="5" fillId="0" borderId="4" xfId="0" applyNumberFormat="1" applyFont="1" applyBorder="1"/>
    <xf numFmtId="0" fontId="5" fillId="3" borderId="1" xfId="0" applyFont="1" applyFill="1" applyBorder="1" applyAlignment="1">
      <alignment horizontal="center"/>
    </xf>
    <xf numFmtId="164" fontId="6" fillId="0" borderId="7" xfId="1" applyNumberFormat="1" applyFont="1" applyBorder="1" applyAlignment="1"/>
    <xf numFmtId="164" fontId="6" fillId="0" borderId="9" xfId="1" applyNumberFormat="1" applyFont="1" applyBorder="1" applyAlignment="1"/>
    <xf numFmtId="0" fontId="5" fillId="0" borderId="0" xfId="0" applyFont="1" applyBorder="1" applyAlignment="1">
      <alignment vertical="top" wrapText="1"/>
    </xf>
    <xf numFmtId="0" fontId="6" fillId="0" borderId="0" xfId="0" applyFont="1" applyBorder="1" applyAlignment="1">
      <alignment vertical="top"/>
    </xf>
    <xf numFmtId="164" fontId="6" fillId="0" borderId="0" xfId="0" applyNumberFormat="1" applyFont="1" applyBorder="1"/>
    <xf numFmtId="10" fontId="6" fillId="0" borderId="12" xfId="2" applyNumberFormat="1" applyFont="1" applyBorder="1"/>
    <xf numFmtId="0" fontId="6" fillId="0" borderId="0" xfId="2" applyNumberFormat="1" applyFont="1"/>
    <xf numFmtId="0" fontId="6" fillId="4" borderId="0" xfId="0" applyFont="1" applyFill="1"/>
    <xf numFmtId="10" fontId="6" fillId="0" borderId="1" xfId="0" applyNumberFormat="1" applyFont="1" applyBorder="1"/>
    <xf numFmtId="0" fontId="6" fillId="0" borderId="17" xfId="0" applyFont="1" applyBorder="1"/>
    <xf numFmtId="0" fontId="6" fillId="0" borderId="18" xfId="0" applyFont="1" applyBorder="1"/>
    <xf numFmtId="0" fontId="6" fillId="0" borderId="16" xfId="0" applyFont="1" applyBorder="1"/>
    <xf numFmtId="0" fontId="6" fillId="0" borderId="19" xfId="0" applyFont="1" applyBorder="1"/>
    <xf numFmtId="43" fontId="6" fillId="0" borderId="19" xfId="1" applyFont="1" applyBorder="1"/>
    <xf numFmtId="0" fontId="5" fillId="3" borderId="1" xfId="0" applyFont="1" applyFill="1" applyBorder="1" applyAlignment="1">
      <alignment horizontal="center"/>
    </xf>
    <xf numFmtId="0" fontId="5" fillId="3" borderId="6"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6" fillId="0" borderId="1" xfId="0" applyFont="1" applyBorder="1" applyAlignment="1">
      <alignment horizontal="left"/>
    </xf>
    <xf numFmtId="0" fontId="6" fillId="3" borderId="1" xfId="0" applyFont="1" applyFill="1" applyBorder="1" applyAlignment="1">
      <alignment horizontal="center"/>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workbookViewId="0">
      <selection activeCell="E17" sqref="E17"/>
    </sheetView>
  </sheetViews>
  <sheetFormatPr defaultRowHeight="17" x14ac:dyDescent="0.6"/>
  <cols>
    <col min="1" max="1" width="57.90625" style="8" bestFit="1" customWidth="1"/>
    <col min="2" max="2" width="14.453125" style="8" bestFit="1" customWidth="1"/>
    <col min="3" max="16384" width="8.7265625" style="8"/>
  </cols>
  <sheetData>
    <row r="1" spans="1:2" x14ac:dyDescent="0.6">
      <c r="A1" s="7" t="s">
        <v>199</v>
      </c>
    </row>
    <row r="3" spans="1:2" x14ac:dyDescent="0.6">
      <c r="A3" s="12" t="s">
        <v>200</v>
      </c>
      <c r="B3" s="12" t="s">
        <v>201</v>
      </c>
    </row>
    <row r="4" spans="1:2" x14ac:dyDescent="0.6">
      <c r="A4" s="9" t="str">
        <f>'[1]Ann 1'!A3</f>
        <v>Annexure 1 - Estimated cost of the project</v>
      </c>
      <c r="B4" s="10" t="s">
        <v>202</v>
      </c>
    </row>
    <row r="5" spans="1:2" x14ac:dyDescent="0.6">
      <c r="A5" s="9" t="str">
        <f>'[1]Ann 2'!A1</f>
        <v>Annexure 2 - Means of Finance</v>
      </c>
      <c r="B5" s="10" t="s">
        <v>203</v>
      </c>
    </row>
    <row r="6" spans="1:2" x14ac:dyDescent="0.6">
      <c r="A6" s="9" t="str">
        <f>'Ann 3'!A1</f>
        <v>Annexure 3 - Complete Estimate of Civil and Plant and Machinery</v>
      </c>
      <c r="B6" s="10" t="s">
        <v>219</v>
      </c>
    </row>
    <row r="7" spans="1:2" x14ac:dyDescent="0.6">
      <c r="A7" s="9" t="str">
        <f>'[1]Ann 4'!A1</f>
        <v>Annexure 4 - Estimated Cost of Production</v>
      </c>
      <c r="B7" s="10" t="s">
        <v>204</v>
      </c>
    </row>
    <row r="8" spans="1:2" x14ac:dyDescent="0.6">
      <c r="A8" s="9" t="str">
        <f>'[1]Ann 5'!A1</f>
        <v>Annexure 5- Projected balance sheet</v>
      </c>
      <c r="B8" s="10" t="s">
        <v>205</v>
      </c>
    </row>
    <row r="9" spans="1:2" x14ac:dyDescent="0.6">
      <c r="A9" s="9" t="str">
        <f>'Ann 8'!A1</f>
        <v>Annexure 8 - Details of Mnpower</v>
      </c>
      <c r="B9" s="10" t="s">
        <v>206</v>
      </c>
    </row>
    <row r="10" spans="1:2" x14ac:dyDescent="0.6">
      <c r="A10" s="9" t="str">
        <f>'Ann 9'!A1</f>
        <v>Annexure 9 - Computation of Depreciation</v>
      </c>
      <c r="B10" s="10" t="s">
        <v>207</v>
      </c>
    </row>
    <row r="11" spans="1:2" x14ac:dyDescent="0.6">
      <c r="A11" s="9" t="str">
        <f>'Ann 10'!A1</f>
        <v>Annexure 10 - Calculation of Income tax</v>
      </c>
      <c r="B11" s="10" t="s">
        <v>208</v>
      </c>
    </row>
    <row r="12" spans="1:2" x14ac:dyDescent="0.6">
      <c r="A12" s="9" t="str">
        <f>'[1]Ann 11'!A1</f>
        <v>Annexure 11- Break even analysis (At maximum capacity utilization)</v>
      </c>
      <c r="B12" s="10" t="s">
        <v>209</v>
      </c>
    </row>
    <row r="13" spans="1:2" x14ac:dyDescent="0.6">
      <c r="A13" s="9" t="str">
        <f>'Ann 13'!A1</f>
        <v>Annexure 13 - Repayment schedule</v>
      </c>
      <c r="B13" s="10" t="s">
        <v>210</v>
      </c>
    </row>
    <row r="14" spans="1:2" x14ac:dyDescent="0.6">
      <c r="A14" s="9" t="str">
        <f>'Ann 14'!A1</f>
        <v>Annexure 14 - Cash flow statement</v>
      </c>
      <c r="B14" s="10" t="s">
        <v>289</v>
      </c>
    </row>
    <row r="15" spans="1:2" x14ac:dyDescent="0.6">
      <c r="A15" s="9" t="str">
        <f>[1]Assumptions!B1</f>
        <v>Assumptions</v>
      </c>
      <c r="B15" s="11" t="s">
        <v>211</v>
      </c>
    </row>
    <row r="16" spans="1:2" x14ac:dyDescent="0.6">
      <c r="A16" s="9" t="str">
        <f>[1]Budgets!A1</f>
        <v>Sales Budget</v>
      </c>
      <c r="B16" s="11" t="s">
        <v>212</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5" location="Assumptions!A1" display="Assumptions!A1" xr:uid="{E978F649-0532-497D-92AA-EF316AAFA8E7}"/>
    <hyperlink ref="B16" location="Budgets!A1" display="Budgets!A1" xr:uid="{4CD23AF4-AE8A-40D8-A5ED-3F33524C9974}"/>
    <hyperlink ref="B6" location="'Ann 3'!A1" display="'Ann 3'!A1" xr:uid="{103D0423-931A-4127-89EA-F0D3EE7C4F91}"/>
    <hyperlink ref="B14" location="'Ann 14'!A1" display="'Ann 14'!A1" xr:uid="{C838FF0E-FB21-4681-BB24-3699D664F32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B7" sqref="B7"/>
    </sheetView>
  </sheetViews>
  <sheetFormatPr defaultRowHeight="17" x14ac:dyDescent="0.6"/>
  <cols>
    <col min="1" max="1" width="20.90625" style="8" customWidth="1"/>
    <col min="2" max="10" width="13.6328125" style="8" bestFit="1" customWidth="1"/>
    <col min="11" max="16384" width="8.7265625" style="8"/>
  </cols>
  <sheetData>
    <row r="1" spans="1:10" x14ac:dyDescent="0.6">
      <c r="A1" s="7" t="s">
        <v>104</v>
      </c>
    </row>
    <row r="3" spans="1:10" x14ac:dyDescent="0.6">
      <c r="A3" s="78" t="s">
        <v>105</v>
      </c>
    </row>
    <row r="5" spans="1:10" x14ac:dyDescent="0.6">
      <c r="A5" s="139" t="s">
        <v>3</v>
      </c>
      <c r="B5" s="139" t="s">
        <v>48</v>
      </c>
      <c r="C5" s="139"/>
      <c r="D5" s="139"/>
      <c r="E5" s="139"/>
      <c r="F5" s="139"/>
      <c r="G5" s="139"/>
      <c r="H5" s="139"/>
      <c r="I5" s="139"/>
      <c r="J5" s="139"/>
    </row>
    <row r="6" spans="1:10" x14ac:dyDescent="0.6">
      <c r="A6" s="139"/>
      <c r="B6" s="93" t="s">
        <v>39</v>
      </c>
      <c r="C6" s="93" t="s">
        <v>40</v>
      </c>
      <c r="D6" s="93" t="s">
        <v>41</v>
      </c>
      <c r="E6" s="93" t="s">
        <v>42</v>
      </c>
      <c r="F6" s="93" t="s">
        <v>43</v>
      </c>
      <c r="G6" s="93" t="s">
        <v>44</v>
      </c>
      <c r="H6" s="93" t="s">
        <v>45</v>
      </c>
      <c r="I6" s="93" t="s">
        <v>46</v>
      </c>
      <c r="J6" s="93" t="s">
        <v>47</v>
      </c>
    </row>
    <row r="7" spans="1:10" x14ac:dyDescent="0.6">
      <c r="A7" s="9" t="s">
        <v>106</v>
      </c>
      <c r="B7" s="55">
        <f>'Ann 4'!C31</f>
        <v>2577125.3846153845</v>
      </c>
      <c r="C7" s="55">
        <f>'Ann 4'!D31</f>
        <v>3074427.384615385</v>
      </c>
      <c r="D7" s="55">
        <f>'Ann 4'!E31</f>
        <v>3573299.3784615719</v>
      </c>
      <c r="E7" s="55">
        <f>'Ann 4'!F31</f>
        <v>4056741.6811077413</v>
      </c>
      <c r="F7" s="55">
        <f>'Ann 4'!G31</f>
        <v>4523793.1791697647</v>
      </c>
      <c r="G7" s="55">
        <f>'Ann 4'!H31</f>
        <v>4840336.429576993</v>
      </c>
      <c r="H7" s="55">
        <f>'Ann 4'!I31</f>
        <v>5264468.6639062259</v>
      </c>
      <c r="I7" s="55">
        <f>'Ann 4'!J31</f>
        <v>5117025.2624630928</v>
      </c>
      <c r="J7" s="55">
        <f>'Ann 4'!K31</f>
        <v>4902073.6634105444</v>
      </c>
    </row>
    <row r="8" spans="1:10" x14ac:dyDescent="0.6">
      <c r="A8" s="9" t="s">
        <v>107</v>
      </c>
      <c r="B8" s="55">
        <v>0</v>
      </c>
      <c r="C8" s="55">
        <v>0</v>
      </c>
      <c r="D8" s="55">
        <v>0</v>
      </c>
      <c r="E8" s="55">
        <v>0</v>
      </c>
      <c r="F8" s="55">
        <v>0</v>
      </c>
      <c r="G8" s="55">
        <v>0</v>
      </c>
      <c r="H8" s="55">
        <v>0</v>
      </c>
      <c r="I8" s="55">
        <v>0</v>
      </c>
      <c r="J8" s="55">
        <v>0</v>
      </c>
    </row>
    <row r="9" spans="1:10" x14ac:dyDescent="0.6">
      <c r="A9" s="9" t="s">
        <v>108</v>
      </c>
      <c r="B9" s="55">
        <f>B7+B8</f>
        <v>2577125.3846153845</v>
      </c>
      <c r="C9" s="55">
        <f t="shared" ref="C9:J9" si="0">C7+C8</f>
        <v>3074427.384615385</v>
      </c>
      <c r="D9" s="55">
        <f t="shared" si="0"/>
        <v>3573299.3784615719</v>
      </c>
      <c r="E9" s="55">
        <f t="shared" si="0"/>
        <v>4056741.6811077413</v>
      </c>
      <c r="F9" s="55">
        <f t="shared" si="0"/>
        <v>4523793.1791697647</v>
      </c>
      <c r="G9" s="55">
        <f t="shared" si="0"/>
        <v>4840336.429576993</v>
      </c>
      <c r="H9" s="55">
        <f t="shared" si="0"/>
        <v>5264468.6639062259</v>
      </c>
      <c r="I9" s="55">
        <f t="shared" si="0"/>
        <v>5117025.2624630928</v>
      </c>
      <c r="J9" s="55">
        <f t="shared" si="0"/>
        <v>4902073.6634105444</v>
      </c>
    </row>
    <row r="10" spans="1:10" x14ac:dyDescent="0.6">
      <c r="A10" s="9" t="s">
        <v>109</v>
      </c>
      <c r="B10" s="55">
        <f>SUM('Ann 9'!C12:E12)</f>
        <v>1445000</v>
      </c>
      <c r="C10" s="55">
        <f>SUM('Ann 9'!C13:E13)</f>
        <v>1238250</v>
      </c>
      <c r="D10" s="55">
        <f>SUM('Ann 9'!C14:E14)</f>
        <v>1061512.5</v>
      </c>
      <c r="E10" s="55">
        <f>SUM('Ann 9'!C15:E15)</f>
        <v>910385.625</v>
      </c>
      <c r="F10" s="55">
        <f>SUM('Ann 9'!C16:E16)</f>
        <v>781117.78125</v>
      </c>
      <c r="G10" s="55">
        <f>SUM('Ann 9'!C17:E17)</f>
        <v>670511.11406249995</v>
      </c>
      <c r="H10" s="55">
        <f>SUM('Ann 9'!C18:E18)</f>
        <v>575839.34695312497</v>
      </c>
      <c r="I10" s="55">
        <f>SUM('Ann 9'!C19:E19)</f>
        <v>494777.85491015622</v>
      </c>
      <c r="J10" s="55">
        <f>SUM('Ann 9'!C20:E20)</f>
        <v>425344.14567363274</v>
      </c>
    </row>
    <row r="11" spans="1:10" x14ac:dyDescent="0.6">
      <c r="A11" s="9" t="s">
        <v>108</v>
      </c>
      <c r="B11" s="55">
        <f>B9-B10</f>
        <v>1132125.3846153845</v>
      </c>
      <c r="C11" s="55">
        <f t="shared" ref="C11:J11" si="1">C9-C10</f>
        <v>1836177.384615385</v>
      </c>
      <c r="D11" s="55">
        <f t="shared" si="1"/>
        <v>2511786.8784615719</v>
      </c>
      <c r="E11" s="55">
        <f t="shared" si="1"/>
        <v>3146356.0561077413</v>
      </c>
      <c r="F11" s="55">
        <f t="shared" si="1"/>
        <v>3742675.3979197647</v>
      </c>
      <c r="G11" s="55">
        <f t="shared" si="1"/>
        <v>4169825.3155144928</v>
      </c>
      <c r="H11" s="55">
        <f t="shared" si="1"/>
        <v>4688629.3169531012</v>
      </c>
      <c r="I11" s="55">
        <f t="shared" si="1"/>
        <v>4622247.407552937</v>
      </c>
      <c r="J11" s="55">
        <f t="shared" si="1"/>
        <v>4476729.5177369118</v>
      </c>
    </row>
    <row r="12" spans="1:10" x14ac:dyDescent="0.6">
      <c r="A12" s="9" t="s">
        <v>110</v>
      </c>
      <c r="B12" s="92">
        <v>0</v>
      </c>
      <c r="C12" s="92">
        <v>0</v>
      </c>
      <c r="D12" s="92">
        <v>0</v>
      </c>
      <c r="E12" s="92">
        <v>0</v>
      </c>
      <c r="F12" s="92">
        <v>0</v>
      </c>
      <c r="G12" s="92">
        <v>0</v>
      </c>
      <c r="H12" s="92">
        <v>0</v>
      </c>
      <c r="I12" s="92">
        <v>0</v>
      </c>
      <c r="J12" s="92">
        <v>0</v>
      </c>
    </row>
    <row r="13" spans="1:10" x14ac:dyDescent="0.6">
      <c r="A13" s="9" t="s">
        <v>111</v>
      </c>
      <c r="B13" s="79">
        <f>B11</f>
        <v>1132125.3846153845</v>
      </c>
      <c r="C13" s="79">
        <f t="shared" ref="C13:J13" si="2">C11</f>
        <v>1836177.384615385</v>
      </c>
      <c r="D13" s="79">
        <f t="shared" si="2"/>
        <v>2511786.8784615719</v>
      </c>
      <c r="E13" s="79">
        <f t="shared" si="2"/>
        <v>3146356.0561077413</v>
      </c>
      <c r="F13" s="79">
        <f t="shared" si="2"/>
        <v>3742675.3979197647</v>
      </c>
      <c r="G13" s="79">
        <f t="shared" si="2"/>
        <v>4169825.3155144928</v>
      </c>
      <c r="H13" s="79">
        <f t="shared" si="2"/>
        <v>4688629.3169531012</v>
      </c>
      <c r="I13" s="79">
        <f t="shared" si="2"/>
        <v>4622247.407552937</v>
      </c>
      <c r="J13" s="79">
        <f t="shared" si="2"/>
        <v>4476729.5177369118</v>
      </c>
    </row>
    <row r="14" spans="1:10" x14ac:dyDescent="0.6">
      <c r="A14" s="9" t="s">
        <v>112</v>
      </c>
      <c r="B14" s="79">
        <f>B13*30%</f>
        <v>339637.61538461532</v>
      </c>
      <c r="C14" s="79">
        <f t="shared" ref="C14:J14" si="3">C13*30%</f>
        <v>550853.21538461547</v>
      </c>
      <c r="D14" s="79">
        <f t="shared" si="3"/>
        <v>753536.06353847159</v>
      </c>
      <c r="E14" s="79">
        <f t="shared" si="3"/>
        <v>943906.81683232239</v>
      </c>
      <c r="F14" s="79">
        <f t="shared" si="3"/>
        <v>1122802.6193759295</v>
      </c>
      <c r="G14" s="79">
        <f t="shared" si="3"/>
        <v>1250947.5946543477</v>
      </c>
      <c r="H14" s="79">
        <f t="shared" si="3"/>
        <v>1406588.7950859303</v>
      </c>
      <c r="I14" s="79">
        <f t="shared" si="3"/>
        <v>1386674.222265881</v>
      </c>
      <c r="J14" s="79">
        <f t="shared" si="3"/>
        <v>1343018.8553210734</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8"/>
  <sheetViews>
    <sheetView topLeftCell="A18" workbookViewId="0">
      <selection activeCell="C35" sqref="C35"/>
    </sheetView>
  </sheetViews>
  <sheetFormatPr defaultRowHeight="17" x14ac:dyDescent="0.6"/>
  <cols>
    <col min="1" max="1" width="8.7265625" style="8"/>
    <col min="2" max="2" width="26.7265625" style="8" bestFit="1" customWidth="1"/>
    <col min="3" max="3" width="14.6328125" style="8" bestFit="1" customWidth="1"/>
    <col min="4" max="4" width="13.54296875" style="8" bestFit="1" customWidth="1"/>
    <col min="5" max="5" width="15.90625" style="8" bestFit="1" customWidth="1"/>
    <col min="6" max="14" width="8.7265625" style="8"/>
    <col min="15" max="15" width="13.6328125" style="8" bestFit="1" customWidth="1"/>
    <col min="16" max="16" width="12.54296875" style="8" bestFit="1" customWidth="1"/>
    <col min="17" max="16384" width="8.7265625" style="8"/>
  </cols>
  <sheetData>
    <row r="1" spans="1:7" x14ac:dyDescent="0.6">
      <c r="A1" s="7" t="s">
        <v>70</v>
      </c>
    </row>
    <row r="3" spans="1:7" x14ac:dyDescent="0.6">
      <c r="A3" s="96" t="s">
        <v>71</v>
      </c>
      <c r="B3" s="97"/>
      <c r="C3" s="97"/>
      <c r="D3" s="97"/>
      <c r="E3" s="97"/>
    </row>
    <row r="5" spans="1:7" x14ac:dyDescent="0.6">
      <c r="B5" s="8" t="s">
        <v>50</v>
      </c>
      <c r="E5" s="94">
        <f>'Ann 4'!C23/70%</f>
        <v>769350000</v>
      </c>
    </row>
    <row r="6" spans="1:7" x14ac:dyDescent="0.6">
      <c r="B6" s="8" t="s">
        <v>72</v>
      </c>
    </row>
    <row r="7" spans="1:7" x14ac:dyDescent="0.6">
      <c r="B7" s="95" t="s">
        <v>73</v>
      </c>
      <c r="D7" s="51">
        <f>E5*5%</f>
        <v>38467500</v>
      </c>
    </row>
    <row r="8" spans="1:7" x14ac:dyDescent="0.6">
      <c r="B8" s="95" t="s">
        <v>74</v>
      </c>
      <c r="D8" s="51">
        <f>'Ann 2'!C7*100000*10%</f>
        <v>150000</v>
      </c>
      <c r="E8" s="51"/>
    </row>
    <row r="9" spans="1:7" x14ac:dyDescent="0.6">
      <c r="B9" s="95" t="s">
        <v>77</v>
      </c>
      <c r="D9" s="51">
        <f>'Ann 4'!K43</f>
        <v>2814200.8453124999</v>
      </c>
      <c r="E9" s="51">
        <f>SUM(D7:D9)</f>
        <v>41431700.845312499</v>
      </c>
      <c r="G9" s="21"/>
    </row>
    <row r="10" spans="1:7" x14ac:dyDescent="0.6">
      <c r="B10" s="8" t="s">
        <v>75</v>
      </c>
      <c r="E10" s="51">
        <f>E5-E9</f>
        <v>727918299.15468752</v>
      </c>
    </row>
    <row r="11" spans="1:7" x14ac:dyDescent="0.6">
      <c r="B11" s="8" t="s">
        <v>244</v>
      </c>
    </row>
    <row r="12" spans="1:7" x14ac:dyDescent="0.6">
      <c r="B12" s="8" t="s">
        <v>76</v>
      </c>
      <c r="E12" s="51">
        <f>'Ann 8'!E14</f>
        <v>1808400</v>
      </c>
    </row>
    <row r="13" spans="1:7" x14ac:dyDescent="0.6">
      <c r="B13" s="8" t="s">
        <v>292</v>
      </c>
      <c r="E13" s="51">
        <f>'Ann 4'!C9</f>
        <v>166000</v>
      </c>
    </row>
    <row r="14" spans="1:7" x14ac:dyDescent="0.6">
      <c r="B14" s="8" t="s">
        <v>78</v>
      </c>
      <c r="E14" s="51">
        <f>'Ann 9'!F12</f>
        <v>1445000</v>
      </c>
    </row>
    <row r="15" spans="1:7" x14ac:dyDescent="0.6">
      <c r="B15" s="8" t="s">
        <v>271</v>
      </c>
      <c r="E15" s="51">
        <v>240000</v>
      </c>
    </row>
    <row r="16" spans="1:7" x14ac:dyDescent="0.6">
      <c r="B16" s="8" t="s">
        <v>243</v>
      </c>
      <c r="E16" s="51">
        <v>500000</v>
      </c>
    </row>
    <row r="17" spans="2:6" x14ac:dyDescent="0.6">
      <c r="B17" s="8" t="s">
        <v>329</v>
      </c>
      <c r="E17" s="51">
        <v>1250000</v>
      </c>
    </row>
    <row r="18" spans="2:6" x14ac:dyDescent="0.6">
      <c r="B18" s="8" t="s">
        <v>195</v>
      </c>
      <c r="E18" s="51">
        <f>SUM('Ann 13'!E9:E12)*100000</f>
        <v>552634.61538461538</v>
      </c>
    </row>
    <row r="19" spans="2:6" x14ac:dyDescent="0.6">
      <c r="B19" s="8" t="s">
        <v>79</v>
      </c>
      <c r="E19" s="51">
        <f>SUM(E12:E18)</f>
        <v>5962034.615384615</v>
      </c>
    </row>
    <row r="21" spans="2:6" x14ac:dyDescent="0.6">
      <c r="B21" s="58" t="s">
        <v>3</v>
      </c>
      <c r="C21" s="58" t="s">
        <v>325</v>
      </c>
      <c r="D21" s="119" t="s">
        <v>297</v>
      </c>
      <c r="E21" s="119" t="s">
        <v>326</v>
      </c>
      <c r="F21" s="127"/>
    </row>
    <row r="22" spans="2:6" x14ac:dyDescent="0.6">
      <c r="B22" s="9" t="s">
        <v>80</v>
      </c>
      <c r="C22" s="9">
        <f>Budgets!D23</f>
        <v>140</v>
      </c>
      <c r="D22" s="9">
        <f>Budgets!D24</f>
        <v>85</v>
      </c>
      <c r="E22" s="9">
        <f>Budgets!D25</f>
        <v>21</v>
      </c>
      <c r="F22" s="127"/>
    </row>
    <row r="23" spans="2:6" x14ac:dyDescent="0.6">
      <c r="B23" s="9" t="s">
        <v>327</v>
      </c>
      <c r="C23" s="9">
        <f>Budgets!E26*0.45</f>
        <v>24.75</v>
      </c>
      <c r="D23" s="9">
        <f>Budgets!E26*0.65*15%</f>
        <v>5.3624999999999998</v>
      </c>
      <c r="E23" s="9">
        <f>Budgets!E26*0.65*40%</f>
        <v>14.3</v>
      </c>
      <c r="F23" s="127"/>
    </row>
    <row r="24" spans="2:6" x14ac:dyDescent="0.6">
      <c r="B24" s="9" t="s">
        <v>267</v>
      </c>
      <c r="C24" s="90">
        <f>($D$9/Budgets!$C$23)*(C23/(SUM($C$23:$E$23)))</f>
        <v>0.37340126209365326</v>
      </c>
      <c r="D24" s="90">
        <f>($D$9/Budgets!$C$23)*(D23/(SUM($C$23:$E$23)))</f>
        <v>8.0903606786958196E-2</v>
      </c>
      <c r="E24" s="90">
        <f>($D$9/Budgets!$C$23)*(E23/(SUM($C$23:$E$23)))</f>
        <v>0.21574295143188854</v>
      </c>
      <c r="F24" s="127"/>
    </row>
    <row r="25" spans="2:6" x14ac:dyDescent="0.6">
      <c r="B25" s="9" t="s">
        <v>324</v>
      </c>
      <c r="C25" s="90">
        <f>0.75%*C23</f>
        <v>0.18562499999999998</v>
      </c>
      <c r="D25" s="90">
        <f t="shared" ref="D25:E25" si="0">0.75%*D23</f>
        <v>4.0218749999999998E-2</v>
      </c>
      <c r="E25" s="90">
        <f t="shared" si="0"/>
        <v>0.10725</v>
      </c>
      <c r="F25" s="127"/>
    </row>
    <row r="26" spans="2:6" x14ac:dyDescent="0.6">
      <c r="B26" s="9" t="s">
        <v>330</v>
      </c>
      <c r="C26" s="90">
        <v>3</v>
      </c>
      <c r="D26" s="90">
        <v>3</v>
      </c>
      <c r="E26" s="90">
        <v>0</v>
      </c>
      <c r="F26" s="127"/>
    </row>
    <row r="27" spans="2:6" x14ac:dyDescent="0.6">
      <c r="B27" s="9" t="s">
        <v>268</v>
      </c>
      <c r="C27" s="9">
        <f>C23*75%</f>
        <v>18.5625</v>
      </c>
      <c r="D27" s="9">
        <f>D23*17.5%</f>
        <v>0.93843749999999992</v>
      </c>
      <c r="E27" s="9">
        <f>E23*17.5%</f>
        <v>2.5024999999999999</v>
      </c>
      <c r="F27" s="127"/>
    </row>
    <row r="28" spans="2:6" x14ac:dyDescent="0.6">
      <c r="B28" s="9" t="s">
        <v>269</v>
      </c>
      <c r="C28" s="90">
        <f>$D$8/Budgets!$C$18</f>
        <v>1.2500000000000001E-2</v>
      </c>
      <c r="D28" s="90">
        <f>$D$8/Budgets!$C$18</f>
        <v>1.2500000000000001E-2</v>
      </c>
      <c r="E28" s="90">
        <f>$D$8/Budgets!$C$18</f>
        <v>1.2500000000000001E-2</v>
      </c>
      <c r="F28" s="127"/>
    </row>
    <row r="29" spans="2:6" x14ac:dyDescent="0.6">
      <c r="B29" s="9" t="s">
        <v>270</v>
      </c>
      <c r="C29" s="9">
        <f>C22-SUM(C23:C28)</f>
        <v>93.115973737906344</v>
      </c>
      <c r="D29" s="9">
        <f>D22-SUM(D23:D28)</f>
        <v>75.565440143213038</v>
      </c>
      <c r="E29" s="9">
        <f>E22-SUM(E23:E28)</f>
        <v>3.8620070485681097</v>
      </c>
      <c r="F29" s="127"/>
    </row>
    <row r="30" spans="2:6" x14ac:dyDescent="0.6">
      <c r="B30" s="23" t="s">
        <v>328</v>
      </c>
      <c r="C30" s="125">
        <f>C29/C22</f>
        <v>0.66511409812790245</v>
      </c>
      <c r="D30" s="125">
        <f t="shared" ref="D30:E30" si="1">D29/D22</f>
        <v>0.88900517815544755</v>
      </c>
      <c r="E30" s="125">
        <f t="shared" si="1"/>
        <v>0.18390509755086237</v>
      </c>
      <c r="F30" s="127"/>
    </row>
    <row r="31" spans="2:6" x14ac:dyDescent="0.6">
      <c r="B31" s="23" t="s">
        <v>332</v>
      </c>
      <c r="C31" s="98">
        <f>Budgets!C23/SUM(Budgets!C23:C25)</f>
        <v>0.41791044776119401</v>
      </c>
      <c r="D31" s="98">
        <f>Budgets!C24/SUM(Budgets!C23:C25)</f>
        <v>0.11641791044776119</v>
      </c>
      <c r="E31" s="98">
        <f>Budgets!C25/SUM(Budgets!C23:C25)</f>
        <v>0.46567164179104475</v>
      </c>
      <c r="F31" s="127"/>
    </row>
    <row r="32" spans="2:6" x14ac:dyDescent="0.6">
      <c r="B32" s="23" t="s">
        <v>333</v>
      </c>
      <c r="C32" s="98">
        <f>C30*C31</f>
        <v>0.27795813056091445</v>
      </c>
      <c r="D32" s="98">
        <f t="shared" ref="D32:E32" si="2">D30*D31</f>
        <v>0.10349612521809687</v>
      </c>
      <c r="E32" s="98">
        <f t="shared" si="2"/>
        <v>8.5639388710252326E-2</v>
      </c>
      <c r="F32" s="128">
        <f>SUM(C32:E32)</f>
        <v>0.46709364448926366</v>
      </c>
    </row>
    <row r="33" spans="1:5" x14ac:dyDescent="0.6">
      <c r="C33" s="33"/>
    </row>
    <row r="34" spans="1:5" x14ac:dyDescent="0.6">
      <c r="B34" s="8" t="s">
        <v>334</v>
      </c>
      <c r="C34" s="126">
        <f>E19/F32</f>
        <v>12764109.907561919</v>
      </c>
    </row>
    <row r="35" spans="1:5" x14ac:dyDescent="0.6">
      <c r="B35" s="8" t="s">
        <v>335</v>
      </c>
      <c r="C35" s="33">
        <v>0.1234</v>
      </c>
    </row>
    <row r="36" spans="1:5" x14ac:dyDescent="0.6">
      <c r="C36" s="33"/>
    </row>
    <row r="37" spans="1:5" ht="49" customHeight="1" x14ac:dyDescent="0.6">
      <c r="A37" s="140" t="s">
        <v>220</v>
      </c>
      <c r="B37" s="140"/>
      <c r="C37" s="140"/>
      <c r="D37" s="140"/>
      <c r="E37" s="140"/>
    </row>
    <row r="38" spans="1:5" ht="86.5" customHeight="1" x14ac:dyDescent="0.6">
      <c r="A38" s="140" t="s">
        <v>295</v>
      </c>
      <c r="B38" s="140"/>
      <c r="C38" s="140"/>
      <c r="D38" s="140"/>
      <c r="E38" s="140"/>
    </row>
  </sheetData>
  <mergeCells count="2">
    <mergeCell ref="A37:E37"/>
    <mergeCell ref="A38:E3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81</v>
      </c>
    </row>
    <row r="3" spans="1:11" x14ac:dyDescent="0.35">
      <c r="C3" s="141" t="s">
        <v>82</v>
      </c>
      <c r="D3" s="141"/>
      <c r="E3" s="141"/>
      <c r="F3" s="141"/>
      <c r="G3" s="141"/>
      <c r="H3" s="141"/>
      <c r="I3" s="141"/>
      <c r="J3" s="141"/>
      <c r="K3" s="141"/>
    </row>
    <row r="4" spans="1:11" x14ac:dyDescent="0.35">
      <c r="C4">
        <v>1</v>
      </c>
      <c r="D4">
        <v>2</v>
      </c>
      <c r="E4">
        <v>3</v>
      </c>
      <c r="F4">
        <v>4</v>
      </c>
      <c r="G4">
        <v>5</v>
      </c>
      <c r="H4">
        <v>6</v>
      </c>
      <c r="I4">
        <v>7</v>
      </c>
      <c r="J4">
        <v>8</v>
      </c>
      <c r="K4">
        <v>9</v>
      </c>
    </row>
    <row r="5" spans="1:11" x14ac:dyDescent="0.35">
      <c r="A5" t="s">
        <v>83</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84</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85</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D11" sqref="D11"/>
    </sheetView>
  </sheetViews>
  <sheetFormatPr defaultRowHeight="17" x14ac:dyDescent="0.6"/>
  <cols>
    <col min="1" max="1" width="4.54296875" style="8" bestFit="1" customWidth="1"/>
    <col min="2" max="2" width="7.36328125" style="8" bestFit="1" customWidth="1"/>
    <col min="3" max="3" width="17.81640625" style="8" bestFit="1" customWidth="1"/>
    <col min="4" max="4" width="17.36328125" style="8" bestFit="1" customWidth="1"/>
    <col min="5" max="5" width="7.26953125" style="8" bestFit="1" customWidth="1"/>
    <col min="6" max="16384" width="8.7265625" style="8"/>
  </cols>
  <sheetData>
    <row r="1" spans="1:7" x14ac:dyDescent="0.6">
      <c r="A1" s="7" t="s">
        <v>91</v>
      </c>
    </row>
    <row r="3" spans="1:7" x14ac:dyDescent="0.6">
      <c r="A3" s="78" t="s">
        <v>92</v>
      </c>
    </row>
    <row r="4" spans="1:7" x14ac:dyDescent="0.6">
      <c r="A4" s="8" t="s">
        <v>93</v>
      </c>
      <c r="D4" s="99">
        <f>'Ann 2'!C6</f>
        <v>93</v>
      </c>
    </row>
    <row r="5" spans="1:7" x14ac:dyDescent="0.6">
      <c r="A5" s="8" t="s">
        <v>94</v>
      </c>
      <c r="D5" s="100">
        <v>0.06</v>
      </c>
    </row>
    <row r="6" spans="1:7" x14ac:dyDescent="0.6">
      <c r="A6" s="8" t="s">
        <v>95</v>
      </c>
      <c r="D6" s="101" t="s">
        <v>153</v>
      </c>
    </row>
    <row r="8" spans="1:7" x14ac:dyDescent="0.6">
      <c r="A8" s="29" t="s">
        <v>69</v>
      </c>
      <c r="B8" s="29" t="s">
        <v>96</v>
      </c>
      <c r="C8" s="29" t="s">
        <v>97</v>
      </c>
      <c r="D8" s="29" t="s">
        <v>99</v>
      </c>
      <c r="E8" s="29" t="s">
        <v>98</v>
      </c>
    </row>
    <row r="9" spans="1:7" x14ac:dyDescent="0.6">
      <c r="A9" s="142">
        <v>1</v>
      </c>
      <c r="B9" s="9">
        <v>1</v>
      </c>
      <c r="C9" s="84">
        <f>$D$4</f>
        <v>93</v>
      </c>
      <c r="D9" s="9">
        <v>0</v>
      </c>
      <c r="E9" s="9">
        <f>C9*$D$5/4</f>
        <v>1.395</v>
      </c>
    </row>
    <row r="10" spans="1:7" x14ac:dyDescent="0.6">
      <c r="A10" s="142"/>
      <c r="B10" s="9">
        <v>2</v>
      </c>
      <c r="C10" s="84">
        <f>$D$4</f>
        <v>93</v>
      </c>
      <c r="D10" s="9">
        <v>0</v>
      </c>
      <c r="E10" s="9">
        <f t="shared" ref="E10:E36" si="0">C10*$D$5/4</f>
        <v>1.395</v>
      </c>
      <c r="G10" s="102"/>
    </row>
    <row r="11" spans="1:7" x14ac:dyDescent="0.6">
      <c r="A11" s="142"/>
      <c r="B11" s="9">
        <v>3</v>
      </c>
      <c r="C11" s="84">
        <f>$D$4</f>
        <v>93</v>
      </c>
      <c r="D11" s="9">
        <f>D4/26</f>
        <v>3.5769230769230771</v>
      </c>
      <c r="E11" s="9">
        <f t="shared" si="0"/>
        <v>1.395</v>
      </c>
    </row>
    <row r="12" spans="1:7" x14ac:dyDescent="0.6">
      <c r="A12" s="142"/>
      <c r="B12" s="9">
        <v>4</v>
      </c>
      <c r="C12" s="9">
        <f t="shared" ref="C12:C17" si="1">C11-D11</f>
        <v>89.42307692307692</v>
      </c>
      <c r="D12" s="9">
        <f>D11</f>
        <v>3.5769230769230771</v>
      </c>
      <c r="E12" s="9">
        <f t="shared" si="0"/>
        <v>1.3413461538461537</v>
      </c>
    </row>
    <row r="13" spans="1:7" x14ac:dyDescent="0.6">
      <c r="A13" s="142">
        <v>2</v>
      </c>
      <c r="B13" s="9">
        <v>1</v>
      </c>
      <c r="C13" s="9">
        <f t="shared" si="1"/>
        <v>85.84615384615384</v>
      </c>
      <c r="D13" s="9">
        <f t="shared" ref="D13:D35" si="2">D12</f>
        <v>3.5769230769230771</v>
      </c>
      <c r="E13" s="9">
        <f t="shared" si="0"/>
        <v>1.2876923076923075</v>
      </c>
    </row>
    <row r="14" spans="1:7" x14ac:dyDescent="0.6">
      <c r="A14" s="142"/>
      <c r="B14" s="9">
        <v>2</v>
      </c>
      <c r="C14" s="9">
        <f t="shared" si="1"/>
        <v>82.269230769230759</v>
      </c>
      <c r="D14" s="9">
        <f t="shared" si="2"/>
        <v>3.5769230769230771</v>
      </c>
      <c r="E14" s="9">
        <f t="shared" si="0"/>
        <v>1.2340384615384614</v>
      </c>
    </row>
    <row r="15" spans="1:7" x14ac:dyDescent="0.6">
      <c r="A15" s="142"/>
      <c r="B15" s="9">
        <v>3</v>
      </c>
      <c r="C15" s="9">
        <f t="shared" si="1"/>
        <v>78.692307692307679</v>
      </c>
      <c r="D15" s="9">
        <f t="shared" si="2"/>
        <v>3.5769230769230771</v>
      </c>
      <c r="E15" s="9">
        <f t="shared" si="0"/>
        <v>1.1803846153846151</v>
      </c>
    </row>
    <row r="16" spans="1:7" x14ac:dyDescent="0.6">
      <c r="A16" s="142"/>
      <c r="B16" s="9">
        <v>4</v>
      </c>
      <c r="C16" s="9">
        <f t="shared" si="1"/>
        <v>75.115384615384599</v>
      </c>
      <c r="D16" s="9">
        <f t="shared" si="2"/>
        <v>3.5769230769230771</v>
      </c>
      <c r="E16" s="9">
        <f t="shared" si="0"/>
        <v>1.1267307692307689</v>
      </c>
    </row>
    <row r="17" spans="1:5" x14ac:dyDescent="0.6">
      <c r="A17" s="142">
        <v>3</v>
      </c>
      <c r="B17" s="9">
        <v>1</v>
      </c>
      <c r="C17" s="9">
        <f t="shared" si="1"/>
        <v>71.538461538461519</v>
      </c>
      <c r="D17" s="9">
        <f t="shared" si="2"/>
        <v>3.5769230769230771</v>
      </c>
      <c r="E17" s="9">
        <f t="shared" si="0"/>
        <v>1.0730769230769228</v>
      </c>
    </row>
    <row r="18" spans="1:5" x14ac:dyDescent="0.6">
      <c r="A18" s="142"/>
      <c r="B18" s="9">
        <v>2</v>
      </c>
      <c r="C18" s="9">
        <f t="shared" ref="C18:C36" si="3">C17-D17</f>
        <v>67.961538461538439</v>
      </c>
      <c r="D18" s="9">
        <f t="shared" si="2"/>
        <v>3.5769230769230771</v>
      </c>
      <c r="E18" s="9">
        <f t="shared" si="0"/>
        <v>1.0194230769230765</v>
      </c>
    </row>
    <row r="19" spans="1:5" x14ac:dyDescent="0.6">
      <c r="A19" s="142"/>
      <c r="B19" s="9">
        <v>3</v>
      </c>
      <c r="C19" s="9">
        <f t="shared" si="3"/>
        <v>64.384615384615358</v>
      </c>
      <c r="D19" s="9">
        <f t="shared" si="2"/>
        <v>3.5769230769230771</v>
      </c>
      <c r="E19" s="9">
        <f t="shared" si="0"/>
        <v>0.96576923076923038</v>
      </c>
    </row>
    <row r="20" spans="1:5" x14ac:dyDescent="0.6">
      <c r="A20" s="142"/>
      <c r="B20" s="9">
        <v>4</v>
      </c>
      <c r="C20" s="9">
        <f t="shared" si="3"/>
        <v>60.807692307692278</v>
      </c>
      <c r="D20" s="9">
        <f t="shared" si="2"/>
        <v>3.5769230769230771</v>
      </c>
      <c r="E20" s="9">
        <f t="shared" si="0"/>
        <v>0.91211538461538411</v>
      </c>
    </row>
    <row r="21" spans="1:5" x14ac:dyDescent="0.6">
      <c r="A21" s="142">
        <v>4</v>
      </c>
      <c r="B21" s="9">
        <v>1</v>
      </c>
      <c r="C21" s="9">
        <f t="shared" si="3"/>
        <v>57.230769230769198</v>
      </c>
      <c r="D21" s="9">
        <f t="shared" si="2"/>
        <v>3.5769230769230771</v>
      </c>
      <c r="E21" s="9">
        <f t="shared" si="0"/>
        <v>0.85846153846153794</v>
      </c>
    </row>
    <row r="22" spans="1:5" x14ac:dyDescent="0.6">
      <c r="A22" s="142"/>
      <c r="B22" s="9">
        <v>2</v>
      </c>
      <c r="C22" s="9">
        <f t="shared" si="3"/>
        <v>53.653846153846118</v>
      </c>
      <c r="D22" s="9">
        <f t="shared" si="2"/>
        <v>3.5769230769230771</v>
      </c>
      <c r="E22" s="9">
        <f t="shared" si="0"/>
        <v>0.80480769230769178</v>
      </c>
    </row>
    <row r="23" spans="1:5" x14ac:dyDescent="0.6">
      <c r="A23" s="142"/>
      <c r="B23" s="9">
        <v>3</v>
      </c>
      <c r="C23" s="9">
        <f t="shared" si="3"/>
        <v>50.076923076923038</v>
      </c>
      <c r="D23" s="9">
        <f t="shared" si="2"/>
        <v>3.5769230769230771</v>
      </c>
      <c r="E23" s="9">
        <f t="shared" si="0"/>
        <v>0.75115384615384551</v>
      </c>
    </row>
    <row r="24" spans="1:5" x14ac:dyDescent="0.6">
      <c r="A24" s="142"/>
      <c r="B24" s="9">
        <v>4</v>
      </c>
      <c r="C24" s="9">
        <f t="shared" si="3"/>
        <v>46.499999999999957</v>
      </c>
      <c r="D24" s="9">
        <f t="shared" si="2"/>
        <v>3.5769230769230771</v>
      </c>
      <c r="E24" s="9">
        <f t="shared" si="0"/>
        <v>0.69749999999999934</v>
      </c>
    </row>
    <row r="25" spans="1:5" x14ac:dyDescent="0.6">
      <c r="A25" s="142">
        <v>5</v>
      </c>
      <c r="B25" s="9">
        <v>1</v>
      </c>
      <c r="C25" s="9">
        <f t="shared" si="3"/>
        <v>42.923076923076877</v>
      </c>
      <c r="D25" s="9">
        <f t="shared" si="2"/>
        <v>3.5769230769230771</v>
      </c>
      <c r="E25" s="9">
        <f t="shared" si="0"/>
        <v>0.64384615384615318</v>
      </c>
    </row>
    <row r="26" spans="1:5" x14ac:dyDescent="0.6">
      <c r="A26" s="142"/>
      <c r="B26" s="9">
        <v>2</v>
      </c>
      <c r="C26" s="9">
        <f t="shared" si="3"/>
        <v>39.346153846153797</v>
      </c>
      <c r="D26" s="9">
        <f t="shared" si="2"/>
        <v>3.5769230769230771</v>
      </c>
      <c r="E26" s="9">
        <f t="shared" si="0"/>
        <v>0.59019230769230691</v>
      </c>
    </row>
    <row r="27" spans="1:5" x14ac:dyDescent="0.6">
      <c r="A27" s="142"/>
      <c r="B27" s="9">
        <v>3</v>
      </c>
      <c r="C27" s="9">
        <f t="shared" si="3"/>
        <v>35.769230769230717</v>
      </c>
      <c r="D27" s="9">
        <f t="shared" si="2"/>
        <v>3.5769230769230771</v>
      </c>
      <c r="E27" s="9">
        <f t="shared" si="0"/>
        <v>0.53653846153846074</v>
      </c>
    </row>
    <row r="28" spans="1:5" x14ac:dyDescent="0.6">
      <c r="A28" s="142"/>
      <c r="B28" s="9">
        <v>4</v>
      </c>
      <c r="C28" s="9">
        <f t="shared" si="3"/>
        <v>32.192307692307637</v>
      </c>
      <c r="D28" s="9">
        <f t="shared" si="2"/>
        <v>3.5769230769230771</v>
      </c>
      <c r="E28" s="9">
        <f t="shared" si="0"/>
        <v>0.48288461538461452</v>
      </c>
    </row>
    <row r="29" spans="1:5" x14ac:dyDescent="0.6">
      <c r="A29" s="142">
        <v>6</v>
      </c>
      <c r="B29" s="9">
        <v>1</v>
      </c>
      <c r="C29" s="9">
        <f t="shared" si="3"/>
        <v>28.61538461538456</v>
      </c>
      <c r="D29" s="9">
        <f t="shared" si="2"/>
        <v>3.5769230769230771</v>
      </c>
      <c r="E29" s="9">
        <f t="shared" si="0"/>
        <v>0.42923076923076836</v>
      </c>
    </row>
    <row r="30" spans="1:5" x14ac:dyDescent="0.6">
      <c r="A30" s="142"/>
      <c r="B30" s="9">
        <v>2</v>
      </c>
      <c r="C30" s="9">
        <f t="shared" si="3"/>
        <v>25.038461538461483</v>
      </c>
      <c r="D30" s="9">
        <f t="shared" si="2"/>
        <v>3.5769230769230771</v>
      </c>
      <c r="E30" s="9">
        <f t="shared" si="0"/>
        <v>0.37557692307692225</v>
      </c>
    </row>
    <row r="31" spans="1:5" x14ac:dyDescent="0.6">
      <c r="A31" s="142"/>
      <c r="B31" s="9">
        <v>3</v>
      </c>
      <c r="C31" s="9">
        <f t="shared" si="3"/>
        <v>21.461538461538407</v>
      </c>
      <c r="D31" s="9">
        <f t="shared" si="2"/>
        <v>3.5769230769230771</v>
      </c>
      <c r="E31" s="9">
        <f t="shared" si="0"/>
        <v>0.32192307692307609</v>
      </c>
    </row>
    <row r="32" spans="1:5" x14ac:dyDescent="0.6">
      <c r="A32" s="142"/>
      <c r="B32" s="9">
        <v>4</v>
      </c>
      <c r="C32" s="9">
        <f t="shared" si="3"/>
        <v>17.88461538461533</v>
      </c>
      <c r="D32" s="9">
        <f t="shared" si="2"/>
        <v>3.5769230769230771</v>
      </c>
      <c r="E32" s="9">
        <f t="shared" si="0"/>
        <v>0.26826923076922993</v>
      </c>
    </row>
    <row r="33" spans="1:5" x14ac:dyDescent="0.6">
      <c r="A33" s="142">
        <v>7</v>
      </c>
      <c r="B33" s="9">
        <v>1</v>
      </c>
      <c r="C33" s="9">
        <f t="shared" si="3"/>
        <v>14.307692307692253</v>
      </c>
      <c r="D33" s="9">
        <f t="shared" si="2"/>
        <v>3.5769230769230771</v>
      </c>
      <c r="E33" s="9">
        <f t="shared" si="0"/>
        <v>0.21461538461538379</v>
      </c>
    </row>
    <row r="34" spans="1:5" x14ac:dyDescent="0.6">
      <c r="A34" s="142"/>
      <c r="B34" s="9">
        <v>2</v>
      </c>
      <c r="C34" s="9">
        <f t="shared" si="3"/>
        <v>10.730769230769177</v>
      </c>
      <c r="D34" s="9">
        <f t="shared" si="2"/>
        <v>3.5769230769230771</v>
      </c>
      <c r="E34" s="9">
        <f t="shared" si="0"/>
        <v>0.16096153846153766</v>
      </c>
    </row>
    <row r="35" spans="1:5" x14ac:dyDescent="0.6">
      <c r="A35" s="142"/>
      <c r="B35" s="9">
        <v>3</v>
      </c>
      <c r="C35" s="9">
        <f t="shared" si="3"/>
        <v>7.1538461538461</v>
      </c>
      <c r="D35" s="9">
        <f t="shared" si="2"/>
        <v>3.5769230769230771</v>
      </c>
      <c r="E35" s="9">
        <f t="shared" si="0"/>
        <v>0.10730769230769149</v>
      </c>
    </row>
    <row r="36" spans="1:5" x14ac:dyDescent="0.6">
      <c r="A36" s="142"/>
      <c r="B36" s="9">
        <v>4</v>
      </c>
      <c r="C36" s="9">
        <f t="shared" si="3"/>
        <v>3.5769230769230229</v>
      </c>
      <c r="D36" s="84">
        <f>D4-SUM(D9:D35)</f>
        <v>3.5769230769230234</v>
      </c>
      <c r="E36" s="9">
        <f t="shared" si="0"/>
        <v>5.3653846153845344E-2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topLeftCell="A2" workbookViewId="0">
      <selection activeCell="D4" sqref="D4"/>
    </sheetView>
  </sheetViews>
  <sheetFormatPr defaultRowHeight="17" x14ac:dyDescent="0.6"/>
  <cols>
    <col min="1" max="1" width="41.1796875" style="8" bestFit="1" customWidth="1"/>
    <col min="2" max="2" width="14.7265625" style="8" customWidth="1"/>
    <col min="3" max="11" width="14.7265625" style="8" bestFit="1" customWidth="1"/>
    <col min="12" max="12" width="13.6328125" style="8" bestFit="1" customWidth="1"/>
    <col min="13" max="16384" width="8.7265625" style="8"/>
  </cols>
  <sheetData>
    <row r="1" spans="1:11" x14ac:dyDescent="0.6">
      <c r="A1" s="7" t="s">
        <v>278</v>
      </c>
      <c r="B1" s="7"/>
    </row>
    <row r="2" spans="1:11" x14ac:dyDescent="0.6">
      <c r="A2" s="7"/>
      <c r="B2" s="7"/>
    </row>
    <row r="3" spans="1:11" x14ac:dyDescent="0.6">
      <c r="A3" s="58" t="s">
        <v>3</v>
      </c>
      <c r="B3" s="58">
        <v>0</v>
      </c>
      <c r="C3" s="58" t="s">
        <v>39</v>
      </c>
      <c r="D3" s="58" t="s">
        <v>40</v>
      </c>
      <c r="E3" s="58" t="s">
        <v>41</v>
      </c>
      <c r="F3" s="58" t="s">
        <v>42</v>
      </c>
      <c r="G3" s="58" t="s">
        <v>43</v>
      </c>
      <c r="H3" s="58" t="s">
        <v>44</v>
      </c>
      <c r="I3" s="58" t="s">
        <v>45</v>
      </c>
      <c r="J3" s="58" t="s">
        <v>46</v>
      </c>
      <c r="K3" s="58" t="s">
        <v>47</v>
      </c>
    </row>
    <row r="4" spans="1:11" x14ac:dyDescent="0.6">
      <c r="A4" s="9" t="s">
        <v>159</v>
      </c>
      <c r="B4" s="55">
        <f>'Ann 2'!C7*100000</f>
        <v>1500000</v>
      </c>
      <c r="C4" s="55">
        <f>B21</f>
        <v>1500000</v>
      </c>
      <c r="D4" s="55">
        <f>C21</f>
        <v>39003202.938461535</v>
      </c>
      <c r="E4" s="55">
        <f t="shared" ref="E4:K4" si="0">D21</f>
        <v>36380523.541538462</v>
      </c>
      <c r="F4" s="55">
        <f t="shared" si="0"/>
        <v>33297751.973753862</v>
      </c>
      <c r="G4" s="55">
        <f t="shared" si="0"/>
        <v>29774753.215839665</v>
      </c>
      <c r="H4" s="55">
        <f t="shared" si="0"/>
        <v>25828031.322029162</v>
      </c>
      <c r="I4" s="55">
        <f t="shared" si="0"/>
        <v>34628564.999494404</v>
      </c>
      <c r="J4" s="55">
        <f t="shared" si="0"/>
        <v>44908311.970051765</v>
      </c>
      <c r="K4" s="55">
        <f t="shared" si="0"/>
        <v>53609004.462019332</v>
      </c>
    </row>
    <row r="5" spans="1:11" x14ac:dyDescent="0.6">
      <c r="A5" s="9" t="s">
        <v>196</v>
      </c>
      <c r="B5" s="55">
        <f>'Ann 2'!C4*100000</f>
        <v>1200000</v>
      </c>
      <c r="C5" s="55">
        <v>0</v>
      </c>
      <c r="D5" s="55">
        <v>0</v>
      </c>
      <c r="E5" s="55">
        <v>0</v>
      </c>
      <c r="F5" s="55">
        <v>0</v>
      </c>
      <c r="G5" s="55">
        <v>0</v>
      </c>
      <c r="H5" s="55">
        <v>0</v>
      </c>
      <c r="I5" s="55">
        <v>0</v>
      </c>
      <c r="J5" s="55">
        <v>0</v>
      </c>
      <c r="K5" s="55">
        <v>0</v>
      </c>
    </row>
    <row r="6" spans="1:11" x14ac:dyDescent="0.6">
      <c r="A6" s="9" t="s">
        <v>197</v>
      </c>
      <c r="B6" s="55">
        <f>'Ann 2'!C6*100000</f>
        <v>9300000</v>
      </c>
      <c r="C6" s="55">
        <v>0</v>
      </c>
      <c r="D6" s="55">
        <v>0</v>
      </c>
      <c r="E6" s="55">
        <v>0</v>
      </c>
      <c r="F6" s="55">
        <v>0</v>
      </c>
      <c r="G6" s="55">
        <v>0</v>
      </c>
      <c r="H6" s="55">
        <v>0</v>
      </c>
      <c r="I6" s="55">
        <v>0</v>
      </c>
      <c r="J6" s="55">
        <v>0</v>
      </c>
      <c r="K6" s="55">
        <v>0</v>
      </c>
    </row>
    <row r="7" spans="1:11" x14ac:dyDescent="0.6">
      <c r="A7" s="9" t="s">
        <v>198</v>
      </c>
      <c r="B7" s="55">
        <f>'Ann 9'!F9*100000</f>
        <v>10300000</v>
      </c>
      <c r="C7" s="55">
        <v>0</v>
      </c>
      <c r="D7" s="55">
        <v>0</v>
      </c>
      <c r="E7" s="55">
        <v>0</v>
      </c>
      <c r="F7" s="55">
        <v>0</v>
      </c>
      <c r="G7" s="55">
        <v>0</v>
      </c>
      <c r="H7" s="55">
        <v>0</v>
      </c>
      <c r="I7" s="55">
        <v>0</v>
      </c>
      <c r="J7" s="55">
        <v>0</v>
      </c>
      <c r="K7" s="55">
        <v>0</v>
      </c>
    </row>
    <row r="8" spans="1:11" x14ac:dyDescent="0.6">
      <c r="A8" s="9" t="s">
        <v>263</v>
      </c>
      <c r="B8" s="55">
        <f>'Ann 1'!C8*100000</f>
        <v>0</v>
      </c>
      <c r="C8" s="55"/>
      <c r="D8" s="55"/>
      <c r="E8" s="55"/>
      <c r="F8" s="55"/>
      <c r="G8" s="55"/>
      <c r="H8" s="55"/>
      <c r="I8" s="55"/>
      <c r="J8" s="55"/>
      <c r="K8" s="55"/>
    </row>
    <row r="9" spans="1:11" x14ac:dyDescent="0.6">
      <c r="A9" s="9" t="s">
        <v>160</v>
      </c>
      <c r="B9" s="55">
        <v>0</v>
      </c>
      <c r="C9" s="55">
        <f>'Ann 4'!C23-'Ann 5'!C12</f>
        <v>493666250</v>
      </c>
      <c r="D9" s="55">
        <f>'Ann 4'!D23-'Ann 5'!D12</f>
        <v>528928125</v>
      </c>
      <c r="E9" s="55">
        <f>'Ann 4'!E23-'Ann 5'!E12</f>
        <v>564190000</v>
      </c>
      <c r="F9" s="55">
        <f>'Ann 4'!F23-'Ann 5'!F12</f>
        <v>599451875</v>
      </c>
      <c r="G9" s="55">
        <f>'Ann 4'!G23-'Ann 5'!G12</f>
        <v>634713750</v>
      </c>
      <c r="H9" s="55">
        <f>'Ann 4'!H23-'Ann 5'!H12</f>
        <v>683018531.24999988</v>
      </c>
      <c r="I9" s="55">
        <f>'Ann 4'!I23-'Ann 5'!I12</f>
        <v>718966875</v>
      </c>
      <c r="J9" s="55">
        <f>'Ann 4'!J23-'Ann 5'!J12</f>
        <v>718966875</v>
      </c>
      <c r="K9" s="55">
        <f>'Ann 4'!K23-'Ann 5'!K12</f>
        <v>718966875</v>
      </c>
    </row>
    <row r="10" spans="1:11" x14ac:dyDescent="0.6">
      <c r="A10" s="9" t="s">
        <v>174</v>
      </c>
      <c r="B10" s="55">
        <v>0</v>
      </c>
      <c r="C10" s="55">
        <v>0</v>
      </c>
      <c r="D10" s="55">
        <f>'Ann 5'!C24</f>
        <v>86625000</v>
      </c>
      <c r="E10" s="55">
        <f>'Ann 5'!D24</f>
        <v>92812500</v>
      </c>
      <c r="F10" s="55">
        <f>'Ann 5'!E24</f>
        <v>99000000</v>
      </c>
      <c r="G10" s="55">
        <f>'Ann 5'!F24</f>
        <v>105187500</v>
      </c>
      <c r="H10" s="55">
        <f>'Ann 5'!G24</f>
        <v>111375000</v>
      </c>
      <c r="I10" s="55">
        <f>'Ann 5'!H24</f>
        <v>117562500</v>
      </c>
      <c r="J10" s="55">
        <f>'Ann 5'!I24</f>
        <v>123750000</v>
      </c>
      <c r="K10" s="55">
        <f>'Ann 5'!J24</f>
        <v>123750000</v>
      </c>
    </row>
    <row r="11" spans="1:11" x14ac:dyDescent="0.6">
      <c r="A11" s="9" t="s">
        <v>175</v>
      </c>
      <c r="B11" s="55">
        <v>0</v>
      </c>
      <c r="C11" s="55">
        <v>0</v>
      </c>
      <c r="D11" s="55">
        <f>'Ann 5'!C12</f>
        <v>44878750</v>
      </c>
      <c r="E11" s="55">
        <f>'Ann 5'!D12</f>
        <v>48084375</v>
      </c>
      <c r="F11" s="55">
        <f>'Ann 5'!E12</f>
        <v>51290000</v>
      </c>
      <c r="G11" s="55">
        <f>'Ann 5'!F12</f>
        <v>54495625</v>
      </c>
      <c r="H11" s="55">
        <f>'Ann 5'!G12</f>
        <v>57701250</v>
      </c>
      <c r="I11" s="55">
        <f>'Ann 5'!H12</f>
        <v>62092593.749999993</v>
      </c>
      <c r="J11" s="55">
        <f>'Ann 5'!I12</f>
        <v>65360625</v>
      </c>
      <c r="K11" s="55">
        <f>'Ann 5'!J12</f>
        <v>65360625</v>
      </c>
    </row>
    <row r="12" spans="1:11" x14ac:dyDescent="0.6">
      <c r="A12" s="9" t="s">
        <v>176</v>
      </c>
      <c r="B12" s="55">
        <v>0</v>
      </c>
      <c r="C12" s="55">
        <f>'Ann 4'!C11+'Ann 4'!C20-'Ann 5'!C24</f>
        <v>453931400</v>
      </c>
      <c r="D12" s="55">
        <f>'Ann 4'!D11+'Ann 4'!D20-'Ann 5'!D24</f>
        <v>486161788</v>
      </c>
      <c r="E12" s="55">
        <f>'Ann 4'!E11+'Ann 4'!E20-'Ann 5'!E24</f>
        <v>518406702.15999997</v>
      </c>
      <c r="F12" s="55">
        <f>'Ann 4'!F11+'Ann 4'!F20-'Ann 5'!F24</f>
        <v>550667046.01119995</v>
      </c>
      <c r="G12" s="55">
        <f>'Ann 4'!G11+'Ann 4'!G20-'Ann 5'!G24</f>
        <v>582943780.66698408</v>
      </c>
      <c r="H12" s="55">
        <f>'Ann 4'!H11+'Ann 4'!H20-'Ann 5'!H24</f>
        <v>615237928.57042289</v>
      </c>
      <c r="I12" s="55">
        <f>'Ann 4'!I11+'Ann 4'!I20-'Ann 5'!I24</f>
        <v>647550577.48993993</v>
      </c>
      <c r="J12" s="55">
        <f>'Ann 4'!J11+'Ann 4'!J20-'Ann 5'!J24</f>
        <v>647751674.73753691</v>
      </c>
      <c r="K12" s="55">
        <f>'Ann 4'!K11+'Ann 4'!K20-'Ann 5'!K24</f>
        <v>647966626.33658946</v>
      </c>
    </row>
    <row r="13" spans="1:11" x14ac:dyDescent="0.6">
      <c r="A13" s="9" t="s">
        <v>242</v>
      </c>
      <c r="B13" s="55">
        <f>'Ann 4'!C32</f>
        <v>200000</v>
      </c>
      <c r="C13" s="55">
        <v>0</v>
      </c>
      <c r="D13" s="55">
        <v>0</v>
      </c>
      <c r="E13" s="55">
        <v>0</v>
      </c>
      <c r="F13" s="55">
        <v>0</v>
      </c>
      <c r="G13" s="55">
        <v>0</v>
      </c>
      <c r="H13" s="55">
        <v>0</v>
      </c>
      <c r="I13" s="55">
        <v>0</v>
      </c>
      <c r="J13" s="55">
        <v>0</v>
      </c>
      <c r="K13" s="55">
        <v>0</v>
      </c>
    </row>
    <row r="14" spans="1:11" x14ac:dyDescent="0.6">
      <c r="A14" s="9" t="s">
        <v>161</v>
      </c>
      <c r="B14" s="55">
        <v>0</v>
      </c>
      <c r="C14" s="55">
        <f>'Ann 4'!C29</f>
        <v>702634.61538461538</v>
      </c>
      <c r="D14" s="55">
        <f>'Ann 4'!D29</f>
        <v>632884.61538461526</v>
      </c>
      <c r="E14" s="55">
        <f>'Ann 4'!E29</f>
        <v>547038.46153846139</v>
      </c>
      <c r="F14" s="55">
        <f>'Ann 4'!F29</f>
        <v>461192.30769230745</v>
      </c>
      <c r="G14" s="55">
        <f>'Ann 4'!G29</f>
        <v>375346.15384615352</v>
      </c>
      <c r="H14" s="55">
        <f>'Ann 4'!H29</f>
        <v>289499.99999999965</v>
      </c>
      <c r="I14" s="55">
        <f>'Ann 4'!I29</f>
        <v>203653.84615384584</v>
      </c>
      <c r="J14" s="55">
        <f>'Ann 4'!J29</f>
        <v>150000</v>
      </c>
      <c r="K14" s="55">
        <f>'Ann 4'!K29</f>
        <v>150000</v>
      </c>
    </row>
    <row r="15" spans="1:11" x14ac:dyDescent="0.6">
      <c r="A15" s="9"/>
      <c r="B15" s="55">
        <f>B4+B5+B6-B7-B8-B13</f>
        <v>1500000</v>
      </c>
      <c r="C15" s="55">
        <f>C4+C9-C10+C11-C12-C14+C5+C6-C7</f>
        <v>40532215.384615384</v>
      </c>
      <c r="D15" s="55">
        <f>D4+D9-D10+D11-D12-D14+D5+D6-D7</f>
        <v>39390405.323076926</v>
      </c>
      <c r="E15" s="55">
        <f>E4+E9-E10+E11-E12-E14+E5+E6-E7</f>
        <v>36888657.920000046</v>
      </c>
      <c r="F15" s="55">
        <f t="shared" ref="F15:K15" si="1">F4+F9-F10+F11-F12-F14+F5+F6-F7</f>
        <v>33911388.654861555</v>
      </c>
      <c r="G15" s="55">
        <f t="shared" si="1"/>
        <v>30477501.395009391</v>
      </c>
      <c r="H15" s="55">
        <f t="shared" si="1"/>
        <v>39645384.001606107</v>
      </c>
      <c r="I15" s="55">
        <f t="shared" si="1"/>
        <v>50371302.413400657</v>
      </c>
      <c r="J15" s="55">
        <f t="shared" si="1"/>
        <v>57584137.232514858</v>
      </c>
      <c r="K15" s="55">
        <f t="shared" si="1"/>
        <v>66069878.125429869</v>
      </c>
    </row>
    <row r="16" spans="1:11" x14ac:dyDescent="0.6">
      <c r="A16" s="9" t="s">
        <v>178</v>
      </c>
      <c r="B16" s="55">
        <v>0</v>
      </c>
      <c r="C16" s="55">
        <f>'Ann 4'!C35</f>
        <v>339637.61538461532</v>
      </c>
      <c r="D16" s="55">
        <f>'Ann 4'!D35</f>
        <v>550853.21538461547</v>
      </c>
      <c r="E16" s="55">
        <f>'Ann 4'!E35</f>
        <v>753536.06353847159</v>
      </c>
      <c r="F16" s="55">
        <f>'Ann 4'!F35</f>
        <v>943906.81683232239</v>
      </c>
      <c r="G16" s="55">
        <f>'Ann 4'!G35</f>
        <v>1122802.6193759295</v>
      </c>
      <c r="H16" s="55">
        <f>'Ann 4'!H35</f>
        <v>1250947.5946543477</v>
      </c>
      <c r="I16" s="55">
        <f>'Ann 4'!I35</f>
        <v>1406588.7950859303</v>
      </c>
      <c r="J16" s="55">
        <f>'Ann 4'!J35</f>
        <v>1386674.222265881</v>
      </c>
      <c r="K16" s="55">
        <f>'Ann 4'!K35</f>
        <v>1343018.8553210734</v>
      </c>
    </row>
    <row r="17" spans="1:12" x14ac:dyDescent="0.6">
      <c r="A17" s="9"/>
      <c r="B17" s="55">
        <v>0</v>
      </c>
      <c r="C17" s="55">
        <f>C15-C16</f>
        <v>40192577.769230768</v>
      </c>
      <c r="D17" s="55">
        <f t="shared" ref="D17:K17" si="2">D15-D16</f>
        <v>38839552.107692309</v>
      </c>
      <c r="E17" s="55">
        <f t="shared" si="2"/>
        <v>36135121.856461577</v>
      </c>
      <c r="F17" s="55">
        <f t="shared" si="2"/>
        <v>32967481.838029232</v>
      </c>
      <c r="G17" s="55">
        <f t="shared" si="2"/>
        <v>29354698.775633462</v>
      </c>
      <c r="H17" s="55">
        <f t="shared" si="2"/>
        <v>38394436.406951755</v>
      </c>
      <c r="I17" s="55">
        <f t="shared" si="2"/>
        <v>48964713.618314728</v>
      </c>
      <c r="J17" s="55">
        <f t="shared" si="2"/>
        <v>56197463.010248974</v>
      </c>
      <c r="K17" s="55">
        <f t="shared" si="2"/>
        <v>64726859.270108797</v>
      </c>
    </row>
    <row r="18" spans="1:12" x14ac:dyDescent="0.6">
      <c r="A18" s="9" t="s">
        <v>177</v>
      </c>
      <c r="B18" s="55">
        <v>0</v>
      </c>
      <c r="C18" s="55">
        <f>'Ann 4'!C37</f>
        <v>473990.21538461541</v>
      </c>
      <c r="D18" s="55">
        <f>'Ann 4'!D37</f>
        <v>1028259.3353846156</v>
      </c>
      <c r="E18" s="55">
        <f>'Ann 4'!E37</f>
        <v>1406600.6519384803</v>
      </c>
      <c r="F18" s="55">
        <f>'Ann 4'!F37</f>
        <v>1761959.3914203355</v>
      </c>
      <c r="G18" s="55">
        <f>'Ann 4'!G37</f>
        <v>2095898.2228350686</v>
      </c>
      <c r="H18" s="55">
        <f>'Ann 4'!H37</f>
        <v>2335102.176688116</v>
      </c>
      <c r="I18" s="55">
        <f>'Ann 4'!I37</f>
        <v>2625632.4174937368</v>
      </c>
      <c r="J18" s="55">
        <f>'Ann 4'!J37</f>
        <v>2588458.548229645</v>
      </c>
      <c r="K18" s="55">
        <f>'Ann 4'!K37</f>
        <v>2506968.5299326708</v>
      </c>
    </row>
    <row r="19" spans="1:12" x14ac:dyDescent="0.6">
      <c r="A19" s="9"/>
      <c r="B19" s="55">
        <v>0</v>
      </c>
      <c r="C19" s="55">
        <f>C17-C18</f>
        <v>39718587.553846151</v>
      </c>
      <c r="D19" s="55">
        <f t="shared" ref="D19:K19" si="3">D17-D18</f>
        <v>37811292.772307694</v>
      </c>
      <c r="E19" s="55">
        <f t="shared" si="3"/>
        <v>34728521.204523094</v>
      </c>
      <c r="F19" s="55">
        <f t="shared" si="3"/>
        <v>31205522.446608897</v>
      </c>
      <c r="G19" s="55">
        <f t="shared" si="3"/>
        <v>27258800.552798394</v>
      </c>
      <c r="H19" s="55">
        <f t="shared" si="3"/>
        <v>36059334.230263636</v>
      </c>
      <c r="I19" s="55">
        <f t="shared" si="3"/>
        <v>46339081.20082099</v>
      </c>
      <c r="J19" s="55">
        <f t="shared" si="3"/>
        <v>53609004.462019332</v>
      </c>
      <c r="K19" s="55">
        <f t="shared" si="3"/>
        <v>62219890.740176126</v>
      </c>
    </row>
    <row r="20" spans="1:12" x14ac:dyDescent="0.6">
      <c r="A20" s="9" t="s">
        <v>179</v>
      </c>
      <c r="B20" s="55">
        <v>0</v>
      </c>
      <c r="C20" s="55">
        <f>SUM('Ann 13'!D9:D12)*100000</f>
        <v>715384.61538461538</v>
      </c>
      <c r="D20" s="55">
        <f>SUM('Ann 13'!D13:D16)*100000</f>
        <v>1430769.2307692308</v>
      </c>
      <c r="E20" s="55">
        <f>SUM('Ann 13'!D17:D20)*100000</f>
        <v>1430769.2307692308</v>
      </c>
      <c r="F20" s="55">
        <f>SUM('Ann 13'!D21:D24)*100000</f>
        <v>1430769.2307692308</v>
      </c>
      <c r="G20" s="55">
        <f>SUM('Ann 13'!D25:D28)*100000</f>
        <v>1430769.2307692308</v>
      </c>
      <c r="H20" s="55">
        <f>SUM('Ann 13'!D29:D32)*100000</f>
        <v>1430769.2307692308</v>
      </c>
      <c r="I20" s="55">
        <f>SUM('Ann 13'!D33:D36)*100000</f>
        <v>1430769.2307692254</v>
      </c>
      <c r="J20" s="55">
        <v>0</v>
      </c>
      <c r="K20" s="55">
        <v>0</v>
      </c>
    </row>
    <row r="21" spans="1:12" x14ac:dyDescent="0.6">
      <c r="A21" s="9" t="s">
        <v>180</v>
      </c>
      <c r="B21" s="55">
        <f>B4+B5+B6-B7-B13-B8</f>
        <v>1500000</v>
      </c>
      <c r="C21" s="55">
        <f>C19-C20</f>
        <v>39003202.938461535</v>
      </c>
      <c r="D21" s="55">
        <f>D19-D20</f>
        <v>36380523.541538462</v>
      </c>
      <c r="E21" s="55">
        <f>E19-E20</f>
        <v>33297751.973753862</v>
      </c>
      <c r="F21" s="55">
        <f t="shared" ref="F21:K21" si="4">F19-F20</f>
        <v>29774753.215839665</v>
      </c>
      <c r="G21" s="55">
        <f t="shared" si="4"/>
        <v>25828031.322029162</v>
      </c>
      <c r="H21" s="55">
        <f t="shared" si="4"/>
        <v>34628564.999494404</v>
      </c>
      <c r="I21" s="55">
        <f t="shared" si="4"/>
        <v>44908311.970051765</v>
      </c>
      <c r="J21" s="55">
        <f t="shared" si="4"/>
        <v>53609004.462019332</v>
      </c>
      <c r="K21" s="55">
        <f t="shared" si="4"/>
        <v>62219890.740176126</v>
      </c>
    </row>
    <row r="22" spans="1:12" x14ac:dyDescent="0.6">
      <c r="B22" s="51"/>
    </row>
    <row r="23" spans="1:12" x14ac:dyDescent="0.6">
      <c r="A23" s="103" t="s">
        <v>181</v>
      </c>
      <c r="B23" s="104">
        <v>0.06</v>
      </c>
      <c r="C23" s="105"/>
      <c r="D23" s="103"/>
      <c r="E23" s="103"/>
      <c r="F23" s="103"/>
      <c r="G23" s="103"/>
      <c r="H23" s="103"/>
      <c r="I23" s="103"/>
      <c r="J23" s="103"/>
      <c r="K23" s="103"/>
      <c r="L23" s="103"/>
    </row>
    <row r="24" spans="1:12" x14ac:dyDescent="0.6">
      <c r="A24" s="103" t="s">
        <v>182</v>
      </c>
      <c r="B24" s="103">
        <v>1</v>
      </c>
      <c r="C24" s="106">
        <f>1/(1+$B$23)</f>
        <v>0.94339622641509424</v>
      </c>
      <c r="D24" s="106">
        <f>1/((1+$B$23)*(1+$B$23))</f>
        <v>0.88999644001423983</v>
      </c>
      <c r="E24" s="106">
        <f>1/((1+$B$23)*(1+$B$23)*(1+$B$23))</f>
        <v>0.8396192830323016</v>
      </c>
      <c r="F24" s="106">
        <f>1/((1+$B$23)*(1+$B$23)*(1+$B$23)*(1+$B$23))</f>
        <v>0.79209366323802044</v>
      </c>
      <c r="G24" s="106">
        <f>1/((1+$B$23)*(1+$B$23)*(1+$B$23)*(1+$B$23)*(1+$B$23))</f>
        <v>0.74725817286605689</v>
      </c>
      <c r="H24" s="106">
        <f>1/((1+$B$23)*(1+$B$23)*(1+$B$23)*(1+$B$23)*(1+$B$23)*(1+$B$23))</f>
        <v>0.70496054043967626</v>
      </c>
      <c r="I24" s="106">
        <f>1/((1+$B$23)*(1+$B$23)*(1+$B$23)*(1+$B$23)*(1+$B$23)*(1+$B$23)*(1+$B$23))</f>
        <v>0.6650571136223361</v>
      </c>
      <c r="J24" s="106">
        <f>1/((1+$B$23)*(1+$B$23)*(1+$B$23)*(1+$B$23)*(1+$B$23)*(1+$B$23)*(1+$B$23)*(1+$B$23))</f>
        <v>0.62741237134182648</v>
      </c>
      <c r="K24" s="106">
        <f>1/((1+$B$23)*(1+$B$23)*(1+$B$23)*(1+$B$23)*(1+$B$23)*(1+$B$23)*(1+$B$23)*(1+$B$23)*(1+$B$23))</f>
        <v>0.59189846353002495</v>
      </c>
      <c r="L24" s="103"/>
    </row>
    <row r="25" spans="1:12" x14ac:dyDescent="0.6">
      <c r="A25" s="103" t="s">
        <v>183</v>
      </c>
      <c r="B25" s="103">
        <f>B4+B9+B11+B5+B6</f>
        <v>12000000</v>
      </c>
      <c r="C25" s="103">
        <f>C4+C9+C11+C5+C6</f>
        <v>495166250</v>
      </c>
      <c r="D25" s="103">
        <f t="shared" ref="D25:K25" si="5">D4+D9+D11</f>
        <v>612810077.93846154</v>
      </c>
      <c r="E25" s="103">
        <f t="shared" si="5"/>
        <v>648654898.54153848</v>
      </c>
      <c r="F25" s="103">
        <f t="shared" si="5"/>
        <v>684039626.97375381</v>
      </c>
      <c r="G25" s="103">
        <f t="shared" si="5"/>
        <v>718984128.21583962</v>
      </c>
      <c r="H25" s="103">
        <f t="shared" si="5"/>
        <v>766547812.57202899</v>
      </c>
      <c r="I25" s="103">
        <f t="shared" si="5"/>
        <v>815688033.74949443</v>
      </c>
      <c r="J25" s="103">
        <f t="shared" si="5"/>
        <v>829235811.97005177</v>
      </c>
      <c r="K25" s="103">
        <f t="shared" si="5"/>
        <v>837936504.46201932</v>
      </c>
      <c r="L25" s="103"/>
    </row>
    <row r="26" spans="1:12" x14ac:dyDescent="0.6">
      <c r="A26" s="103" t="s">
        <v>184</v>
      </c>
      <c r="B26" s="103">
        <f>B25*B24</f>
        <v>12000000</v>
      </c>
      <c r="C26" s="103">
        <f>C25*C24</f>
        <v>467137971.69811314</v>
      </c>
      <c r="D26" s="103">
        <f t="shared" ref="D26:K26" si="6">D25*D24</f>
        <v>545398787.77007961</v>
      </c>
      <c r="E26" s="103">
        <f t="shared" si="6"/>
        <v>544623160.8488369</v>
      </c>
      <c r="F26" s="103">
        <f t="shared" si="6"/>
        <v>541823453.92960966</v>
      </c>
      <c r="G26" s="103">
        <f t="shared" si="6"/>
        <v>537266765.97026312</v>
      </c>
      <c r="H26" s="103">
        <f t="shared" si="6"/>
        <v>540385960.22362924</v>
      </c>
      <c r="I26" s="103">
        <f t="shared" si="6"/>
        <v>542479129.34171748</v>
      </c>
      <c r="J26" s="103">
        <f t="shared" si="6"/>
        <v>520272807.18969512</v>
      </c>
      <c r="K26" s="103">
        <f t="shared" si="6"/>
        <v>495973329.52678913</v>
      </c>
      <c r="L26" s="103"/>
    </row>
    <row r="27" spans="1:12" x14ac:dyDescent="0.6">
      <c r="A27" s="103" t="s">
        <v>185</v>
      </c>
      <c r="B27" s="103">
        <f>B10+B12+B14+B16+B18+B20+B7+B13+B8</f>
        <v>10500000</v>
      </c>
      <c r="C27" s="103">
        <f t="shared" ref="C27:K27" si="7">C10+C12+C14+C16+C18+C20+C7+C13</f>
        <v>456163047.06153852</v>
      </c>
      <c r="D27" s="103">
        <f t="shared" si="7"/>
        <v>576429554.39692307</v>
      </c>
      <c r="E27" s="103">
        <f t="shared" si="7"/>
        <v>615357146.56778455</v>
      </c>
      <c r="F27" s="103">
        <f t="shared" si="7"/>
        <v>654264873.75791419</v>
      </c>
      <c r="G27" s="103">
        <f t="shared" si="7"/>
        <v>693156096.89381051</v>
      </c>
      <c r="H27" s="103">
        <f t="shared" si="7"/>
        <v>731919247.57253456</v>
      </c>
      <c r="I27" s="103">
        <f t="shared" si="7"/>
        <v>770779721.77944267</v>
      </c>
      <c r="J27" s="103">
        <f t="shared" si="7"/>
        <v>775626807.50803244</v>
      </c>
      <c r="K27" s="103">
        <f t="shared" si="7"/>
        <v>775716613.72184312</v>
      </c>
      <c r="L27" s="103"/>
    </row>
    <row r="28" spans="1:12" x14ac:dyDescent="0.6">
      <c r="A28" s="103" t="s">
        <v>186</v>
      </c>
      <c r="B28" s="103">
        <f>B27*B24</f>
        <v>10500000</v>
      </c>
      <c r="C28" s="103">
        <f>C27*C24</f>
        <v>430342497.22786647</v>
      </c>
      <c r="D28" s="103">
        <f t="shared" ref="D28:K28" si="8">D27*D24</f>
        <v>513020251.33225614</v>
      </c>
      <c r="E28" s="103">
        <f t="shared" si="8"/>
        <v>516665726.21004617</v>
      </c>
      <c r="F28" s="103">
        <f t="shared" si="8"/>
        <v>518239060.58286726</v>
      </c>
      <c r="G28" s="103">
        <f t="shared" si="8"/>
        <v>517966558.47583634</v>
      </c>
      <c r="H28" s="103">
        <f t="shared" si="8"/>
        <v>515974188.32693517</v>
      </c>
      <c r="I28" s="103">
        <f t="shared" si="8"/>
        <v>512612537.00526339</v>
      </c>
      <c r="J28" s="103">
        <f t="shared" si="8"/>
        <v>486637854.57490504</v>
      </c>
      <c r="K28" s="103">
        <f t="shared" si="8"/>
        <v>459145471.79667282</v>
      </c>
      <c r="L28" s="103"/>
    </row>
    <row r="29" spans="1:12" x14ac:dyDescent="0.6">
      <c r="A29" s="103"/>
      <c r="B29" s="103"/>
      <c r="C29" s="103"/>
      <c r="D29" s="103"/>
      <c r="E29" s="103"/>
      <c r="F29" s="103"/>
      <c r="G29" s="103"/>
      <c r="H29" s="103"/>
      <c r="I29" s="103"/>
      <c r="J29" s="103"/>
      <c r="K29" s="103"/>
      <c r="L29" s="103"/>
    </row>
    <row r="30" spans="1:12" x14ac:dyDescent="0.6">
      <c r="A30" s="103" t="s">
        <v>187</v>
      </c>
      <c r="B30" s="103">
        <f>B25-B27</f>
        <v>1500000</v>
      </c>
      <c r="C30" s="103">
        <f>C25-C27</f>
        <v>39003202.938461483</v>
      </c>
      <c r="D30" s="103">
        <f>D25-D27</f>
        <v>36380523.541538477</v>
      </c>
      <c r="E30" s="103">
        <f t="shared" ref="E30:K30" si="9">E25-E27</f>
        <v>33297751.973753929</v>
      </c>
      <c r="F30" s="103">
        <f t="shared" si="9"/>
        <v>29774753.215839624</v>
      </c>
      <c r="G30" s="103">
        <f t="shared" si="9"/>
        <v>25828031.322029114</v>
      </c>
      <c r="H30" s="103">
        <f t="shared" si="9"/>
        <v>34628564.999494433</v>
      </c>
      <c r="I30" s="103">
        <f t="shared" si="9"/>
        <v>44908311.970051765</v>
      </c>
      <c r="J30" s="103">
        <f t="shared" si="9"/>
        <v>53609004.462019324</v>
      </c>
      <c r="K30" s="103">
        <f t="shared" si="9"/>
        <v>62219890.740176201</v>
      </c>
      <c r="L30" s="103"/>
    </row>
    <row r="31" spans="1:12" x14ac:dyDescent="0.6">
      <c r="A31" s="103" t="s">
        <v>188</v>
      </c>
      <c r="B31" s="103">
        <f>B26-B28</f>
        <v>1500000</v>
      </c>
      <c r="C31" s="103">
        <f>C30*C24</f>
        <v>36795474.47024668</v>
      </c>
      <c r="D31" s="103">
        <f t="shared" ref="D31:K31" si="10">D30*D24</f>
        <v>32378536.437823489</v>
      </c>
      <c r="E31" s="103">
        <f t="shared" si="10"/>
        <v>27957434.638790678</v>
      </c>
      <c r="F31" s="103">
        <f t="shared" si="10"/>
        <v>23584393.346742436</v>
      </c>
      <c r="G31" s="103">
        <f t="shared" si="10"/>
        <v>19300207.494426765</v>
      </c>
      <c r="H31" s="103">
        <f t="shared" si="10"/>
        <v>24411771.896694053</v>
      </c>
      <c r="I31" s="103">
        <f t="shared" si="10"/>
        <v>29866592.336454034</v>
      </c>
      <c r="J31" s="103">
        <f t="shared" si="10"/>
        <v>33634952.614790104</v>
      </c>
      <c r="K31" s="103">
        <f t="shared" si="10"/>
        <v>36827857.730116323</v>
      </c>
      <c r="L31" s="103">
        <f>SUM(C31:K31)</f>
        <v>264757220.9660846</v>
      </c>
    </row>
    <row r="32" spans="1:12" x14ac:dyDescent="0.6">
      <c r="C32" s="51"/>
      <c r="D32" s="51"/>
      <c r="E32" s="51"/>
      <c r="F32" s="51"/>
      <c r="G32" s="51"/>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2:K53"/>
  <sheetViews>
    <sheetView workbookViewId="0">
      <selection activeCell="C44" sqref="C44:K44"/>
    </sheetView>
  </sheetViews>
  <sheetFormatPr defaultRowHeight="17" x14ac:dyDescent="0.6"/>
  <cols>
    <col min="1" max="1" width="8.7265625" style="8"/>
    <col min="2" max="2" width="61.81640625" style="8" bestFit="1" customWidth="1"/>
    <col min="3" max="11" width="16.08984375" style="8" bestFit="1" customWidth="1"/>
    <col min="12" max="12" width="12.54296875" style="8" bestFit="1" customWidth="1"/>
    <col min="13" max="16384" width="8.7265625" style="8"/>
  </cols>
  <sheetData>
    <row r="2" spans="1:11" x14ac:dyDescent="0.6">
      <c r="B2" s="7" t="s">
        <v>165</v>
      </c>
    </row>
    <row r="3" spans="1:11" x14ac:dyDescent="0.6">
      <c r="A3" s="137" t="s">
        <v>52</v>
      </c>
      <c r="B3" s="137" t="s">
        <v>3</v>
      </c>
      <c r="C3" s="134" t="s">
        <v>48</v>
      </c>
      <c r="D3" s="134"/>
      <c r="E3" s="134"/>
      <c r="F3" s="134"/>
      <c r="G3" s="134"/>
      <c r="H3" s="134"/>
      <c r="I3" s="134"/>
      <c r="J3" s="134"/>
      <c r="K3" s="134"/>
    </row>
    <row r="4" spans="1:11" x14ac:dyDescent="0.6">
      <c r="A4" s="137"/>
      <c r="B4" s="137"/>
      <c r="C4" s="58" t="s">
        <v>39</v>
      </c>
      <c r="D4" s="58" t="s">
        <v>40</v>
      </c>
      <c r="E4" s="58" t="s">
        <v>41</v>
      </c>
      <c r="F4" s="58" t="s">
        <v>42</v>
      </c>
      <c r="G4" s="58" t="s">
        <v>43</v>
      </c>
      <c r="H4" s="58" t="s">
        <v>44</v>
      </c>
      <c r="I4" s="58" t="s">
        <v>45</v>
      </c>
      <c r="J4" s="58" t="s">
        <v>46</v>
      </c>
      <c r="K4" s="58" t="s">
        <v>47</v>
      </c>
    </row>
    <row r="5" spans="1:11" x14ac:dyDescent="0.6">
      <c r="A5" s="9" t="s">
        <v>279</v>
      </c>
      <c r="B5" s="9" t="s">
        <v>241</v>
      </c>
      <c r="C5" s="107">
        <v>0.7</v>
      </c>
      <c r="D5" s="107">
        <v>0.75</v>
      </c>
      <c r="E5" s="107">
        <v>0.8</v>
      </c>
      <c r="F5" s="107">
        <v>0.85</v>
      </c>
      <c r="G5" s="107">
        <v>0.9</v>
      </c>
      <c r="H5" s="107">
        <v>0.95</v>
      </c>
      <c r="I5" s="107">
        <v>1</v>
      </c>
      <c r="J5" s="107">
        <v>1</v>
      </c>
      <c r="K5" s="107">
        <v>1</v>
      </c>
    </row>
    <row r="6" spans="1:11" x14ac:dyDescent="0.6">
      <c r="A6" s="9" t="s">
        <v>280</v>
      </c>
      <c r="B6" s="9" t="s">
        <v>288</v>
      </c>
      <c r="C6" s="108">
        <f t="shared" ref="C6:K6" si="0">$C$18*C5</f>
        <v>8400000</v>
      </c>
      <c r="D6" s="108">
        <f t="shared" si="0"/>
        <v>9000000</v>
      </c>
      <c r="E6" s="108">
        <f t="shared" si="0"/>
        <v>9600000</v>
      </c>
      <c r="F6" s="108">
        <f t="shared" si="0"/>
        <v>10200000</v>
      </c>
      <c r="G6" s="108">
        <f t="shared" si="0"/>
        <v>10800000</v>
      </c>
      <c r="H6" s="108">
        <f t="shared" si="0"/>
        <v>11400000</v>
      </c>
      <c r="I6" s="108">
        <f t="shared" si="0"/>
        <v>12000000</v>
      </c>
      <c r="J6" s="108">
        <f t="shared" si="0"/>
        <v>12000000</v>
      </c>
      <c r="K6" s="108">
        <f t="shared" si="0"/>
        <v>12000000</v>
      </c>
    </row>
    <row r="7" spans="1:11" x14ac:dyDescent="0.6">
      <c r="A7" s="9" t="s">
        <v>281</v>
      </c>
      <c r="B7" s="9" t="s">
        <v>308</v>
      </c>
      <c r="C7" s="108">
        <f>C6*0.35</f>
        <v>2940000</v>
      </c>
      <c r="D7" s="108">
        <f t="shared" ref="D7:K7" si="1">D6*0.35</f>
        <v>3150000</v>
      </c>
      <c r="E7" s="108">
        <f t="shared" si="1"/>
        <v>3360000</v>
      </c>
      <c r="F7" s="108">
        <f t="shared" si="1"/>
        <v>3570000</v>
      </c>
      <c r="G7" s="108">
        <f t="shared" si="1"/>
        <v>3779999.9999999995</v>
      </c>
      <c r="H7" s="108">
        <f t="shared" si="1"/>
        <v>3989999.9999999995</v>
      </c>
      <c r="I7" s="108">
        <f t="shared" si="1"/>
        <v>4200000</v>
      </c>
      <c r="J7" s="108">
        <f t="shared" si="1"/>
        <v>4200000</v>
      </c>
      <c r="K7" s="108">
        <f t="shared" si="1"/>
        <v>4200000</v>
      </c>
    </row>
    <row r="8" spans="1:11" x14ac:dyDescent="0.6">
      <c r="A8" s="9" t="s">
        <v>282</v>
      </c>
      <c r="B8" s="9" t="s">
        <v>309</v>
      </c>
      <c r="C8" s="55">
        <f>C6-C7</f>
        <v>5460000</v>
      </c>
      <c r="D8" s="55">
        <f t="shared" ref="D8:K8" si="2">D6-D7</f>
        <v>5850000</v>
      </c>
      <c r="E8" s="55">
        <f t="shared" si="2"/>
        <v>6240000</v>
      </c>
      <c r="F8" s="55">
        <f t="shared" si="2"/>
        <v>6630000</v>
      </c>
      <c r="G8" s="55">
        <f t="shared" si="2"/>
        <v>7020000</v>
      </c>
      <c r="H8" s="55">
        <f t="shared" si="2"/>
        <v>7410000</v>
      </c>
      <c r="I8" s="55">
        <f t="shared" si="2"/>
        <v>7800000</v>
      </c>
      <c r="J8" s="55">
        <f t="shared" si="2"/>
        <v>7800000</v>
      </c>
      <c r="K8" s="55">
        <f t="shared" si="2"/>
        <v>7800000</v>
      </c>
    </row>
    <row r="9" spans="1:11" x14ac:dyDescent="0.6">
      <c r="A9" s="9" t="s">
        <v>283</v>
      </c>
      <c r="B9" s="9" t="s">
        <v>310</v>
      </c>
      <c r="C9" s="55">
        <f>C8*15%</f>
        <v>819000</v>
      </c>
      <c r="D9" s="55">
        <f t="shared" ref="D9:K9" si="3">D8*15%</f>
        <v>877500</v>
      </c>
      <c r="E9" s="55">
        <f t="shared" si="3"/>
        <v>936000</v>
      </c>
      <c r="F9" s="55">
        <f t="shared" si="3"/>
        <v>994500</v>
      </c>
      <c r="G9" s="55">
        <f t="shared" si="3"/>
        <v>1053000</v>
      </c>
      <c r="H9" s="55">
        <f t="shared" si="3"/>
        <v>1111500</v>
      </c>
      <c r="I9" s="55">
        <f t="shared" si="3"/>
        <v>1170000</v>
      </c>
      <c r="J9" s="55">
        <f t="shared" si="3"/>
        <v>1170000</v>
      </c>
      <c r="K9" s="55">
        <f t="shared" si="3"/>
        <v>1170000</v>
      </c>
    </row>
    <row r="10" spans="1:11" x14ac:dyDescent="0.6">
      <c r="A10" s="9" t="s">
        <v>284</v>
      </c>
      <c r="B10" s="9" t="s">
        <v>317</v>
      </c>
      <c r="C10" s="55">
        <f>C8*50%</f>
        <v>2730000</v>
      </c>
      <c r="D10" s="55">
        <f t="shared" ref="D10:K10" si="4">D8*50%</f>
        <v>2925000</v>
      </c>
      <c r="E10" s="55">
        <f t="shared" si="4"/>
        <v>3120000</v>
      </c>
      <c r="F10" s="55">
        <f t="shared" si="4"/>
        <v>3315000</v>
      </c>
      <c r="G10" s="55">
        <f t="shared" si="4"/>
        <v>3510000</v>
      </c>
      <c r="H10" s="55">
        <f t="shared" si="4"/>
        <v>3705000</v>
      </c>
      <c r="I10" s="55">
        <f t="shared" si="4"/>
        <v>3900000</v>
      </c>
      <c r="J10" s="55">
        <f t="shared" si="4"/>
        <v>3900000</v>
      </c>
      <c r="K10" s="55">
        <f t="shared" si="4"/>
        <v>3900000</v>
      </c>
    </row>
    <row r="11" spans="1:11" x14ac:dyDescent="0.6">
      <c r="A11" s="9" t="s">
        <v>285</v>
      </c>
      <c r="B11" s="9" t="s">
        <v>311</v>
      </c>
      <c r="C11" s="55">
        <f>C7*$D$23</f>
        <v>411600000</v>
      </c>
      <c r="D11" s="55">
        <f t="shared" ref="D11:G11" si="5">D7*$D$23</f>
        <v>441000000</v>
      </c>
      <c r="E11" s="55">
        <f t="shared" si="5"/>
        <v>470400000</v>
      </c>
      <c r="F11" s="55">
        <f t="shared" si="5"/>
        <v>499800000</v>
      </c>
      <c r="G11" s="55">
        <f t="shared" si="5"/>
        <v>529199999.99999994</v>
      </c>
      <c r="H11" s="55">
        <f>H7*$D$23*1.02</f>
        <v>569771999.99999988</v>
      </c>
      <c r="I11" s="55">
        <f t="shared" ref="I11:K11" si="6">I7*$D$23*1.02</f>
        <v>599760000</v>
      </c>
      <c r="J11" s="55">
        <f t="shared" si="6"/>
        <v>599760000</v>
      </c>
      <c r="K11" s="55">
        <f t="shared" si="6"/>
        <v>599760000</v>
      </c>
    </row>
    <row r="12" spans="1:11" x14ac:dyDescent="0.6">
      <c r="A12" s="9" t="s">
        <v>286</v>
      </c>
      <c r="B12" s="9" t="s">
        <v>312</v>
      </c>
      <c r="C12" s="55">
        <f>C9*$D$24</f>
        <v>69615000</v>
      </c>
      <c r="D12" s="55">
        <f t="shared" ref="D12:G12" si="7">D9*$D$24</f>
        <v>74587500</v>
      </c>
      <c r="E12" s="55">
        <f t="shared" si="7"/>
        <v>79560000</v>
      </c>
      <c r="F12" s="55">
        <f t="shared" si="7"/>
        <v>84532500</v>
      </c>
      <c r="G12" s="55">
        <f t="shared" si="7"/>
        <v>89505000</v>
      </c>
      <c r="H12" s="55">
        <f>H9*$D$24*1.02</f>
        <v>96367050</v>
      </c>
      <c r="I12" s="55">
        <f t="shared" ref="I12:K12" si="8">I9*$D$24*1.02</f>
        <v>101439000</v>
      </c>
      <c r="J12" s="55">
        <f t="shared" si="8"/>
        <v>101439000</v>
      </c>
      <c r="K12" s="55">
        <f t="shared" si="8"/>
        <v>101439000</v>
      </c>
    </row>
    <row r="13" spans="1:11" x14ac:dyDescent="0.6">
      <c r="A13" s="9" t="s">
        <v>287</v>
      </c>
      <c r="B13" s="9" t="s">
        <v>318</v>
      </c>
      <c r="C13" s="55">
        <f>C10*$D$25</f>
        <v>57330000</v>
      </c>
      <c r="D13" s="55">
        <f t="shared" ref="D13:G13" si="9">D10*$D$25</f>
        <v>61425000</v>
      </c>
      <c r="E13" s="55">
        <f t="shared" si="9"/>
        <v>65520000</v>
      </c>
      <c r="F13" s="55">
        <f t="shared" si="9"/>
        <v>69615000</v>
      </c>
      <c r="G13" s="55">
        <f t="shared" si="9"/>
        <v>73710000</v>
      </c>
      <c r="H13" s="55">
        <f>H10*$D$25*1.015</f>
        <v>78972074.999999985</v>
      </c>
      <c r="I13" s="55">
        <f t="shared" ref="I13:K13" si="10">I10*$D$25*1.015</f>
        <v>83128499.999999985</v>
      </c>
      <c r="J13" s="55">
        <f t="shared" si="10"/>
        <v>83128499.999999985</v>
      </c>
      <c r="K13" s="55">
        <f t="shared" si="10"/>
        <v>83128499.999999985</v>
      </c>
    </row>
    <row r="14" spans="1:11" s="32" customFormat="1" x14ac:dyDescent="0.6">
      <c r="A14" s="9" t="s">
        <v>319</v>
      </c>
      <c r="B14" s="9" t="s">
        <v>265</v>
      </c>
      <c r="C14" s="55">
        <f>SUM(C11:C13)</f>
        <v>538545000</v>
      </c>
      <c r="D14" s="55">
        <f t="shared" ref="D14:K14" si="11">SUM(D11:D13)</f>
        <v>577012500</v>
      </c>
      <c r="E14" s="55">
        <f t="shared" si="11"/>
        <v>615480000</v>
      </c>
      <c r="F14" s="55">
        <f t="shared" si="11"/>
        <v>653947500</v>
      </c>
      <c r="G14" s="55">
        <f t="shared" si="11"/>
        <v>692415000</v>
      </c>
      <c r="H14" s="55">
        <f t="shared" si="11"/>
        <v>745111124.99999988</v>
      </c>
      <c r="I14" s="55">
        <f t="shared" si="11"/>
        <v>784327500</v>
      </c>
      <c r="J14" s="55">
        <f t="shared" si="11"/>
        <v>784327500</v>
      </c>
      <c r="K14" s="55">
        <f t="shared" si="11"/>
        <v>784327500</v>
      </c>
    </row>
    <row r="15" spans="1:11" x14ac:dyDescent="0.6">
      <c r="C15" s="34"/>
      <c r="D15" s="34"/>
      <c r="E15" s="34"/>
      <c r="F15" s="34"/>
      <c r="G15" s="34"/>
      <c r="H15" s="34"/>
      <c r="I15" s="34"/>
      <c r="J15" s="34"/>
      <c r="K15" s="34"/>
    </row>
    <row r="16" spans="1:11" x14ac:dyDescent="0.6">
      <c r="B16" s="7" t="s">
        <v>259</v>
      </c>
    </row>
    <row r="18" spans="2:11" x14ac:dyDescent="0.6">
      <c r="B18" s="8" t="s">
        <v>240</v>
      </c>
      <c r="C18" s="94">
        <f>12000*1000</f>
        <v>12000000</v>
      </c>
      <c r="F18" s="34"/>
    </row>
    <row r="19" spans="2:11" x14ac:dyDescent="0.6">
      <c r="B19" s="8" t="s">
        <v>257</v>
      </c>
      <c r="C19" s="109">
        <v>180</v>
      </c>
    </row>
    <row r="20" spans="2:11" x14ac:dyDescent="0.6">
      <c r="B20" s="8" t="s">
        <v>307</v>
      </c>
      <c r="C20" s="109">
        <v>2</v>
      </c>
    </row>
    <row r="22" spans="2:11" s="114" customFormat="1" ht="58" customHeight="1" x14ac:dyDescent="0.35">
      <c r="B22" s="115" t="s">
        <v>166</v>
      </c>
      <c r="C22" s="116" t="s">
        <v>167</v>
      </c>
      <c r="D22" s="116" t="s">
        <v>258</v>
      </c>
      <c r="E22" s="116" t="s">
        <v>314</v>
      </c>
      <c r="F22" s="122"/>
    </row>
    <row r="23" spans="2:11" s="111" customFormat="1" x14ac:dyDescent="0.35">
      <c r="B23" s="110" t="s">
        <v>313</v>
      </c>
      <c r="C23" s="112">
        <f>C18*0.35</f>
        <v>4200000</v>
      </c>
      <c r="D23" s="113">
        <v>140</v>
      </c>
      <c r="E23" s="113">
        <v>0</v>
      </c>
      <c r="F23" s="123"/>
    </row>
    <row r="24" spans="2:11" s="111" customFormat="1" x14ac:dyDescent="0.35">
      <c r="B24" s="110" t="s">
        <v>297</v>
      </c>
      <c r="C24" s="112">
        <f>C9/C5</f>
        <v>1170000</v>
      </c>
      <c r="D24" s="113">
        <v>85</v>
      </c>
      <c r="E24" s="113">
        <v>0</v>
      </c>
      <c r="F24" s="123"/>
    </row>
    <row r="25" spans="2:11" s="111" customFormat="1" x14ac:dyDescent="0.35">
      <c r="B25" s="110" t="s">
        <v>317</v>
      </c>
      <c r="C25" s="112">
        <f>C8*60%/C5</f>
        <v>4680000</v>
      </c>
      <c r="D25" s="113">
        <v>21</v>
      </c>
      <c r="E25" s="113">
        <v>0</v>
      </c>
      <c r="F25" s="123"/>
    </row>
    <row r="26" spans="2:11" s="111" customFormat="1" x14ac:dyDescent="0.35">
      <c r="B26" s="110" t="s">
        <v>315</v>
      </c>
      <c r="C26" s="112">
        <f>C18</f>
        <v>12000000</v>
      </c>
      <c r="D26" s="113">
        <v>0</v>
      </c>
      <c r="E26" s="113">
        <v>55</v>
      </c>
      <c r="F26" s="123"/>
    </row>
    <row r="28" spans="2:11" x14ac:dyDescent="0.6">
      <c r="B28" s="7" t="s">
        <v>320</v>
      </c>
    </row>
    <row r="29" spans="2:11" s="7" customFormat="1" x14ac:dyDescent="0.6">
      <c r="B29" s="137" t="s">
        <v>3</v>
      </c>
      <c r="C29" s="134" t="s">
        <v>48</v>
      </c>
      <c r="D29" s="134"/>
      <c r="E29" s="134"/>
      <c r="F29" s="134"/>
      <c r="G29" s="134"/>
      <c r="H29" s="134"/>
      <c r="I29" s="134"/>
      <c r="J29" s="134"/>
      <c r="K29" s="134"/>
    </row>
    <row r="30" spans="2:11" s="7" customFormat="1" x14ac:dyDescent="0.6">
      <c r="B30" s="137"/>
      <c r="C30" s="119" t="s">
        <v>39</v>
      </c>
      <c r="D30" s="119" t="s">
        <v>40</v>
      </c>
      <c r="E30" s="119" t="s">
        <v>41</v>
      </c>
      <c r="F30" s="119" t="s">
        <v>42</v>
      </c>
      <c r="G30" s="119" t="s">
        <v>43</v>
      </c>
      <c r="H30" s="119" t="s">
        <v>44</v>
      </c>
      <c r="I30" s="119" t="s">
        <v>45</v>
      </c>
      <c r="J30" s="119" t="s">
        <v>46</v>
      </c>
      <c r="K30" s="119" t="s">
        <v>47</v>
      </c>
    </row>
    <row r="31" spans="2:11" x14ac:dyDescent="0.6">
      <c r="B31" s="9" t="s">
        <v>260</v>
      </c>
      <c r="C31" s="92">
        <v>0</v>
      </c>
      <c r="D31" s="79">
        <f>C34</f>
        <v>29400</v>
      </c>
      <c r="E31" s="79">
        <f t="shared" ref="E31:K31" si="12">D34</f>
        <v>60900</v>
      </c>
      <c r="F31" s="79">
        <f t="shared" si="12"/>
        <v>94500</v>
      </c>
      <c r="G31" s="79">
        <f t="shared" si="12"/>
        <v>130200</v>
      </c>
      <c r="H31" s="79">
        <f t="shared" si="12"/>
        <v>168000</v>
      </c>
      <c r="I31" s="79">
        <f t="shared" si="12"/>
        <v>128100</v>
      </c>
      <c r="J31" s="79">
        <f t="shared" si="12"/>
        <v>86100</v>
      </c>
      <c r="K31" s="79">
        <f t="shared" si="12"/>
        <v>44100</v>
      </c>
    </row>
    <row r="32" spans="2:11" x14ac:dyDescent="0.6">
      <c r="B32" s="9" t="s">
        <v>261</v>
      </c>
      <c r="C32" s="79">
        <f>C7</f>
        <v>2940000</v>
      </c>
      <c r="D32" s="79">
        <f t="shared" ref="D32:K32" si="13">D7</f>
        <v>3150000</v>
      </c>
      <c r="E32" s="79">
        <f t="shared" si="13"/>
        <v>3360000</v>
      </c>
      <c r="F32" s="79">
        <f t="shared" si="13"/>
        <v>3570000</v>
      </c>
      <c r="G32" s="79">
        <f t="shared" si="13"/>
        <v>3779999.9999999995</v>
      </c>
      <c r="H32" s="79">
        <f t="shared" si="13"/>
        <v>3989999.9999999995</v>
      </c>
      <c r="I32" s="79">
        <f t="shared" si="13"/>
        <v>4200000</v>
      </c>
      <c r="J32" s="79">
        <f t="shared" si="13"/>
        <v>4200000</v>
      </c>
      <c r="K32" s="79">
        <f t="shared" si="13"/>
        <v>4200000</v>
      </c>
    </row>
    <row r="33" spans="2:11" x14ac:dyDescent="0.6">
      <c r="B33" s="9" t="s">
        <v>50</v>
      </c>
      <c r="C33" s="79">
        <f>C7*99%</f>
        <v>2910600</v>
      </c>
      <c r="D33" s="79">
        <f>D7*99%</f>
        <v>3118500</v>
      </c>
      <c r="E33" s="79">
        <f>E7*99%</f>
        <v>3326400</v>
      </c>
      <c r="F33" s="79">
        <f>F7*99%</f>
        <v>3534300</v>
      </c>
      <c r="G33" s="79">
        <f>G7*99%</f>
        <v>3742199.9999999995</v>
      </c>
      <c r="H33" s="79">
        <f>H7*101%</f>
        <v>4029899.9999999995</v>
      </c>
      <c r="I33" s="79">
        <f>I7*101%</f>
        <v>4242000</v>
      </c>
      <c r="J33" s="79">
        <f>J7*101%</f>
        <v>4242000</v>
      </c>
      <c r="K33" s="79">
        <f>K7*101%</f>
        <v>4242000</v>
      </c>
    </row>
    <row r="34" spans="2:11" x14ac:dyDescent="0.6">
      <c r="B34" s="9" t="s">
        <v>262</v>
      </c>
      <c r="C34" s="79">
        <f>C31+C32-C33</f>
        <v>29400</v>
      </c>
      <c r="D34" s="79">
        <f t="shared" ref="D34:K34" si="14">D31+D32-D33</f>
        <v>60900</v>
      </c>
      <c r="E34" s="79">
        <f t="shared" si="14"/>
        <v>94500</v>
      </c>
      <c r="F34" s="79">
        <f t="shared" si="14"/>
        <v>130200</v>
      </c>
      <c r="G34" s="79">
        <f t="shared" si="14"/>
        <v>168000</v>
      </c>
      <c r="H34" s="79">
        <f t="shared" si="14"/>
        <v>128100</v>
      </c>
      <c r="I34" s="79">
        <f t="shared" si="14"/>
        <v>86100</v>
      </c>
      <c r="J34" s="79">
        <f t="shared" si="14"/>
        <v>44100</v>
      </c>
      <c r="K34" s="79">
        <f t="shared" si="14"/>
        <v>2100</v>
      </c>
    </row>
    <row r="35" spans="2:11" x14ac:dyDescent="0.6">
      <c r="B35" s="9" t="s">
        <v>323</v>
      </c>
      <c r="C35" s="79">
        <f>C34*138</f>
        <v>4057200</v>
      </c>
      <c r="D35" s="79">
        <f t="shared" ref="D35:K35" si="15">D34*138</f>
        <v>8404200</v>
      </c>
      <c r="E35" s="79">
        <f t="shared" si="15"/>
        <v>13041000</v>
      </c>
      <c r="F35" s="79">
        <f t="shared" si="15"/>
        <v>17967600</v>
      </c>
      <c r="G35" s="79">
        <f t="shared" si="15"/>
        <v>23184000</v>
      </c>
      <c r="H35" s="79">
        <f t="shared" si="15"/>
        <v>17677800</v>
      </c>
      <c r="I35" s="79">
        <f t="shared" si="15"/>
        <v>11881800</v>
      </c>
      <c r="J35" s="79">
        <f t="shared" si="15"/>
        <v>6085800</v>
      </c>
      <c r="K35" s="79">
        <f t="shared" si="15"/>
        <v>289800</v>
      </c>
    </row>
    <row r="36" spans="2:11" x14ac:dyDescent="0.6">
      <c r="B36" s="32"/>
      <c r="C36" s="124"/>
      <c r="D36" s="124"/>
      <c r="E36" s="124"/>
      <c r="F36" s="124"/>
      <c r="G36" s="124"/>
      <c r="H36" s="124"/>
      <c r="I36" s="124"/>
      <c r="J36" s="124"/>
      <c r="K36" s="124"/>
    </row>
    <row r="37" spans="2:11" x14ac:dyDescent="0.6">
      <c r="B37" s="7" t="s">
        <v>321</v>
      </c>
    </row>
    <row r="38" spans="2:11" x14ac:dyDescent="0.6">
      <c r="B38" s="137" t="s">
        <v>3</v>
      </c>
      <c r="C38" s="134" t="s">
        <v>48</v>
      </c>
      <c r="D38" s="134"/>
      <c r="E38" s="134"/>
      <c r="F38" s="134"/>
      <c r="G38" s="134"/>
      <c r="H38" s="134"/>
      <c r="I38" s="134"/>
      <c r="J38" s="134"/>
      <c r="K38" s="134"/>
    </row>
    <row r="39" spans="2:11" x14ac:dyDescent="0.6">
      <c r="B39" s="137"/>
      <c r="C39" s="119" t="s">
        <v>39</v>
      </c>
      <c r="D39" s="119" t="s">
        <v>40</v>
      </c>
      <c r="E39" s="119" t="s">
        <v>41</v>
      </c>
      <c r="F39" s="119" t="s">
        <v>42</v>
      </c>
      <c r="G39" s="119" t="s">
        <v>43</v>
      </c>
      <c r="H39" s="119" t="s">
        <v>44</v>
      </c>
      <c r="I39" s="119" t="s">
        <v>45</v>
      </c>
      <c r="J39" s="119" t="s">
        <v>46</v>
      </c>
      <c r="K39" s="119" t="s">
        <v>47</v>
      </c>
    </row>
    <row r="40" spans="2:11" x14ac:dyDescent="0.6">
      <c r="B40" s="9" t="s">
        <v>260</v>
      </c>
      <c r="C40" s="92">
        <v>0</v>
      </c>
      <c r="D40" s="79">
        <f>C43</f>
        <v>8190</v>
      </c>
      <c r="E40" s="79">
        <f t="shared" ref="E40" si="16">D43</f>
        <v>16965</v>
      </c>
      <c r="F40" s="79">
        <f t="shared" ref="F40" si="17">E43</f>
        <v>26325</v>
      </c>
      <c r="G40" s="79">
        <f t="shared" ref="G40" si="18">F43</f>
        <v>36270</v>
      </c>
      <c r="H40" s="79">
        <f t="shared" ref="H40" si="19">G43</f>
        <v>46800</v>
      </c>
      <c r="I40" s="79">
        <f t="shared" ref="I40" si="20">H43</f>
        <v>35685</v>
      </c>
      <c r="J40" s="79">
        <f t="shared" ref="J40" si="21">I43</f>
        <v>23985</v>
      </c>
      <c r="K40" s="79">
        <f t="shared" ref="K40" si="22">J43</f>
        <v>12285</v>
      </c>
    </row>
    <row r="41" spans="2:11" x14ac:dyDescent="0.6">
      <c r="B41" s="9" t="s">
        <v>261</v>
      </c>
      <c r="C41" s="79">
        <f>C9</f>
        <v>819000</v>
      </c>
      <c r="D41" s="79">
        <f t="shared" ref="D41:K41" si="23">D9</f>
        <v>877500</v>
      </c>
      <c r="E41" s="79">
        <f t="shared" si="23"/>
        <v>936000</v>
      </c>
      <c r="F41" s="79">
        <f t="shared" si="23"/>
        <v>994500</v>
      </c>
      <c r="G41" s="79">
        <f t="shared" si="23"/>
        <v>1053000</v>
      </c>
      <c r="H41" s="79">
        <f t="shared" si="23"/>
        <v>1111500</v>
      </c>
      <c r="I41" s="79">
        <f t="shared" si="23"/>
        <v>1170000</v>
      </c>
      <c r="J41" s="79">
        <f t="shared" si="23"/>
        <v>1170000</v>
      </c>
      <c r="K41" s="79">
        <f t="shared" si="23"/>
        <v>1170000</v>
      </c>
    </row>
    <row r="42" spans="2:11" x14ac:dyDescent="0.6">
      <c r="B42" s="9" t="s">
        <v>50</v>
      </c>
      <c r="C42" s="79">
        <f>C9*99%</f>
        <v>810810</v>
      </c>
      <c r="D42" s="79">
        <f t="shared" ref="D42:G42" si="24">D9*99%</f>
        <v>868725</v>
      </c>
      <c r="E42" s="79">
        <f t="shared" si="24"/>
        <v>926640</v>
      </c>
      <c r="F42" s="79">
        <f t="shared" si="24"/>
        <v>984555</v>
      </c>
      <c r="G42" s="79">
        <f t="shared" si="24"/>
        <v>1042470</v>
      </c>
      <c r="H42" s="79">
        <f>H9*101%</f>
        <v>1122615</v>
      </c>
      <c r="I42" s="79">
        <f t="shared" ref="I42:K42" si="25">I9*101%</f>
        <v>1181700</v>
      </c>
      <c r="J42" s="79">
        <f t="shared" si="25"/>
        <v>1181700</v>
      </c>
      <c r="K42" s="79">
        <f t="shared" si="25"/>
        <v>1181700</v>
      </c>
    </row>
    <row r="43" spans="2:11" x14ac:dyDescent="0.6">
      <c r="B43" s="9" t="s">
        <v>262</v>
      </c>
      <c r="C43" s="79">
        <f>C40+C41-C42</f>
        <v>8190</v>
      </c>
      <c r="D43" s="79">
        <f t="shared" ref="D43:K43" si="26">D40+D41-D42</f>
        <v>16965</v>
      </c>
      <c r="E43" s="79">
        <f t="shared" si="26"/>
        <v>26325</v>
      </c>
      <c r="F43" s="79">
        <f t="shared" si="26"/>
        <v>36270</v>
      </c>
      <c r="G43" s="79">
        <f t="shared" si="26"/>
        <v>46800</v>
      </c>
      <c r="H43" s="79">
        <f t="shared" si="26"/>
        <v>35685</v>
      </c>
      <c r="I43" s="79">
        <f t="shared" si="26"/>
        <v>23985</v>
      </c>
      <c r="J43" s="79">
        <f t="shared" si="26"/>
        <v>12285</v>
      </c>
      <c r="K43" s="79">
        <f t="shared" si="26"/>
        <v>585</v>
      </c>
    </row>
    <row r="44" spans="2:11" x14ac:dyDescent="0.6">
      <c r="B44" s="9" t="s">
        <v>323</v>
      </c>
      <c r="C44" s="79">
        <f>C43*84</f>
        <v>687960</v>
      </c>
      <c r="D44" s="79">
        <f t="shared" ref="D44:K44" si="27">D43*84</f>
        <v>1425060</v>
      </c>
      <c r="E44" s="79">
        <f t="shared" si="27"/>
        <v>2211300</v>
      </c>
      <c r="F44" s="79">
        <f t="shared" si="27"/>
        <v>3046680</v>
      </c>
      <c r="G44" s="79">
        <f t="shared" si="27"/>
        <v>3931200</v>
      </c>
      <c r="H44" s="79">
        <f t="shared" si="27"/>
        <v>2997540</v>
      </c>
      <c r="I44" s="79">
        <f t="shared" si="27"/>
        <v>2014740</v>
      </c>
      <c r="J44" s="79">
        <f t="shared" si="27"/>
        <v>1031940</v>
      </c>
      <c r="K44" s="79">
        <f t="shared" si="27"/>
        <v>49140</v>
      </c>
    </row>
    <row r="45" spans="2:11" x14ac:dyDescent="0.6">
      <c r="B45" s="32"/>
      <c r="C45" s="124"/>
      <c r="D45" s="124"/>
      <c r="E45" s="124"/>
      <c r="F45" s="124"/>
      <c r="G45" s="124"/>
      <c r="H45" s="124"/>
      <c r="I45" s="124"/>
      <c r="J45" s="124"/>
      <c r="K45" s="124"/>
    </row>
    <row r="46" spans="2:11" x14ac:dyDescent="0.6">
      <c r="B46" s="7" t="s">
        <v>322</v>
      </c>
    </row>
    <row r="47" spans="2:11" x14ac:dyDescent="0.6">
      <c r="B47" s="137" t="s">
        <v>3</v>
      </c>
      <c r="C47" s="134" t="s">
        <v>48</v>
      </c>
      <c r="D47" s="134"/>
      <c r="E47" s="134"/>
      <c r="F47" s="134"/>
      <c r="G47" s="134"/>
      <c r="H47" s="134"/>
      <c r="I47" s="134"/>
      <c r="J47" s="134"/>
      <c r="K47" s="134"/>
    </row>
    <row r="48" spans="2:11" x14ac:dyDescent="0.6">
      <c r="B48" s="137"/>
      <c r="C48" s="119" t="s">
        <v>39</v>
      </c>
      <c r="D48" s="119" t="s">
        <v>40</v>
      </c>
      <c r="E48" s="119" t="s">
        <v>41</v>
      </c>
      <c r="F48" s="119" t="s">
        <v>42</v>
      </c>
      <c r="G48" s="119" t="s">
        <v>43</v>
      </c>
      <c r="H48" s="119" t="s">
        <v>44</v>
      </c>
      <c r="I48" s="119" t="s">
        <v>45</v>
      </c>
      <c r="J48" s="119" t="s">
        <v>46</v>
      </c>
      <c r="K48" s="119" t="s">
        <v>47</v>
      </c>
    </row>
    <row r="49" spans="2:11" x14ac:dyDescent="0.6">
      <c r="B49" s="9" t="s">
        <v>260</v>
      </c>
      <c r="C49" s="92">
        <v>0</v>
      </c>
      <c r="D49" s="79">
        <f>C52</f>
        <v>27300</v>
      </c>
      <c r="E49" s="79">
        <f t="shared" ref="E49" si="28">D52</f>
        <v>56550</v>
      </c>
      <c r="F49" s="79">
        <f t="shared" ref="F49" si="29">E52</f>
        <v>87750</v>
      </c>
      <c r="G49" s="79">
        <f t="shared" ref="G49" si="30">F52</f>
        <v>120900</v>
      </c>
      <c r="H49" s="79">
        <f t="shared" ref="H49" si="31">G52</f>
        <v>156000</v>
      </c>
      <c r="I49" s="79">
        <f t="shared" ref="I49" si="32">H52</f>
        <v>118950</v>
      </c>
      <c r="J49" s="79">
        <f t="shared" ref="J49" si="33">I52</f>
        <v>79950</v>
      </c>
      <c r="K49" s="79">
        <f t="shared" ref="K49" si="34">J52</f>
        <v>40950</v>
      </c>
    </row>
    <row r="50" spans="2:11" x14ac:dyDescent="0.6">
      <c r="B50" s="9" t="s">
        <v>261</v>
      </c>
      <c r="C50" s="79">
        <f>C10</f>
        <v>2730000</v>
      </c>
      <c r="D50" s="79">
        <f t="shared" ref="D50:K50" si="35">D10</f>
        <v>2925000</v>
      </c>
      <c r="E50" s="79">
        <f t="shared" si="35"/>
        <v>3120000</v>
      </c>
      <c r="F50" s="79">
        <f t="shared" si="35"/>
        <v>3315000</v>
      </c>
      <c r="G50" s="79">
        <f t="shared" si="35"/>
        <v>3510000</v>
      </c>
      <c r="H50" s="79">
        <f t="shared" si="35"/>
        <v>3705000</v>
      </c>
      <c r="I50" s="79">
        <f t="shared" si="35"/>
        <v>3900000</v>
      </c>
      <c r="J50" s="79">
        <f t="shared" si="35"/>
        <v>3900000</v>
      </c>
      <c r="K50" s="79">
        <f t="shared" si="35"/>
        <v>3900000</v>
      </c>
    </row>
    <row r="51" spans="2:11" x14ac:dyDescent="0.6">
      <c r="B51" s="9" t="s">
        <v>50</v>
      </c>
      <c r="C51" s="79">
        <f>C10*99%</f>
        <v>2702700</v>
      </c>
      <c r="D51" s="79">
        <f t="shared" ref="D51:G51" si="36">D10*99%</f>
        <v>2895750</v>
      </c>
      <c r="E51" s="79">
        <f t="shared" si="36"/>
        <v>3088800</v>
      </c>
      <c r="F51" s="79">
        <f t="shared" si="36"/>
        <v>3281850</v>
      </c>
      <c r="G51" s="79">
        <f t="shared" si="36"/>
        <v>3474900</v>
      </c>
      <c r="H51" s="79">
        <f>H10*101%</f>
        <v>3742050</v>
      </c>
      <c r="I51" s="79">
        <f t="shared" ref="I51:K51" si="37">I10*101%</f>
        <v>3939000</v>
      </c>
      <c r="J51" s="79">
        <f t="shared" si="37"/>
        <v>3939000</v>
      </c>
      <c r="K51" s="79">
        <f t="shared" si="37"/>
        <v>3939000</v>
      </c>
    </row>
    <row r="52" spans="2:11" x14ac:dyDescent="0.6">
      <c r="B52" s="9" t="s">
        <v>262</v>
      </c>
      <c r="C52" s="79">
        <f>C49+C50-C51</f>
        <v>27300</v>
      </c>
      <c r="D52" s="79">
        <f t="shared" ref="D52:K52" si="38">D49+D50-D51</f>
        <v>56550</v>
      </c>
      <c r="E52" s="79">
        <f t="shared" si="38"/>
        <v>87750</v>
      </c>
      <c r="F52" s="79">
        <f t="shared" si="38"/>
        <v>120900</v>
      </c>
      <c r="G52" s="79">
        <f t="shared" si="38"/>
        <v>156000</v>
      </c>
      <c r="H52" s="79">
        <f t="shared" si="38"/>
        <v>118950</v>
      </c>
      <c r="I52" s="79">
        <f t="shared" si="38"/>
        <v>79950</v>
      </c>
      <c r="J52" s="79">
        <f t="shared" si="38"/>
        <v>40950</v>
      </c>
      <c r="K52" s="79">
        <f t="shared" si="38"/>
        <v>1950</v>
      </c>
    </row>
    <row r="53" spans="2:11" x14ac:dyDescent="0.6">
      <c r="B53" s="9" t="s">
        <v>323</v>
      </c>
      <c r="C53" s="79">
        <f>C52*20</f>
        <v>546000</v>
      </c>
      <c r="D53" s="79">
        <f t="shared" ref="D53:K53" si="39">D52*20</f>
        <v>1131000</v>
      </c>
      <c r="E53" s="79">
        <f t="shared" si="39"/>
        <v>1755000</v>
      </c>
      <c r="F53" s="79">
        <f t="shared" si="39"/>
        <v>2418000</v>
      </c>
      <c r="G53" s="79">
        <f t="shared" si="39"/>
        <v>3120000</v>
      </c>
      <c r="H53" s="79">
        <f t="shared" si="39"/>
        <v>2379000</v>
      </c>
      <c r="I53" s="79">
        <f t="shared" si="39"/>
        <v>1599000</v>
      </c>
      <c r="J53" s="79">
        <f t="shared" si="39"/>
        <v>819000</v>
      </c>
      <c r="K53" s="79">
        <f t="shared" si="39"/>
        <v>39000</v>
      </c>
    </row>
  </sheetData>
  <mergeCells count="9">
    <mergeCell ref="B38:B39"/>
    <mergeCell ref="C38:K38"/>
    <mergeCell ref="B47:B48"/>
    <mergeCell ref="C47:K47"/>
    <mergeCell ref="A3:A4"/>
    <mergeCell ref="C3:K3"/>
    <mergeCell ref="C29:K29"/>
    <mergeCell ref="B3:B4"/>
    <mergeCell ref="B29:B30"/>
  </mergeCells>
  <pageMargins left="0.7" right="0.7" top="0.75" bottom="0.75" header="0.3" footer="0.3"/>
  <pageSetup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ht="17" x14ac:dyDescent="0.6">
      <c r="A3" t="s">
        <v>189</v>
      </c>
      <c r="B3" s="34">
        <f>'Ann 4'!C23/100000</f>
        <v>5385.45</v>
      </c>
      <c r="C3" s="34">
        <f>'Ann 4'!D23/100000</f>
        <v>5770.125</v>
      </c>
      <c r="D3" s="34">
        <f>'Ann 4'!E23/100000</f>
        <v>6154.8</v>
      </c>
      <c r="E3" s="34">
        <f>'Ann 4'!F23/100000</f>
        <v>6539.4750000000004</v>
      </c>
      <c r="F3" s="34">
        <f>'Ann 4'!G23/100000</f>
        <v>6924.15</v>
      </c>
      <c r="G3" s="1">
        <f>'Ann 4'!H23/100000</f>
        <v>7451.111249999999</v>
      </c>
      <c r="H3" s="1">
        <f>'Ann 4'!I23/100000</f>
        <v>7843.2749999999996</v>
      </c>
      <c r="I3" s="1">
        <f>'Ann 4'!J23/100000</f>
        <v>7843.2749999999996</v>
      </c>
      <c r="J3" s="1">
        <f>'Ann 4'!K23/100000</f>
        <v>7843.2749999999996</v>
      </c>
    </row>
    <row r="4" spans="1:10" ht="17" x14ac:dyDescent="0.6">
      <c r="A4" t="s">
        <v>190</v>
      </c>
      <c r="B4" s="34">
        <f>'Ann 4'!C22/100000</f>
        <v>5352.6523999999999</v>
      </c>
      <c r="C4" s="34">
        <f>'Ann 4'!D22/100000</f>
        <v>5733.05188</v>
      </c>
      <c r="D4" s="34">
        <f>'Ann 4'!E22/100000</f>
        <v>6113.5966215999997</v>
      </c>
      <c r="E4" s="34">
        <f>'Ann 4'!F22/100000</f>
        <v>6494.2956601119995</v>
      </c>
      <c r="F4" s="34">
        <f>'Ann 4'!G22/100000</f>
        <v>6875.158606669841</v>
      </c>
      <c r="G4" s="1">
        <f>'Ann 4'!H22/100000</f>
        <v>7399.8128857042293</v>
      </c>
      <c r="H4" s="1">
        <f>'Ann 4'!I22/100000</f>
        <v>7788.5937748993992</v>
      </c>
      <c r="I4" s="1">
        <f>'Ann 4'!J22/100000</f>
        <v>7790.6047473753688</v>
      </c>
      <c r="J4" s="1">
        <f>'Ann 4'!K22/100000</f>
        <v>7792.754263365895</v>
      </c>
    </row>
    <row r="5" spans="1:10" ht="17" x14ac:dyDescent="0.6">
      <c r="A5" t="s">
        <v>191</v>
      </c>
      <c r="B5" s="34">
        <f>B3-B4</f>
        <v>32.797599999999875</v>
      </c>
      <c r="C5" s="34">
        <f t="shared" ref="C5:J5" si="0">C3-C4</f>
        <v>37.073120000000017</v>
      </c>
      <c r="D5" s="34">
        <f t="shared" si="0"/>
        <v>41.203378400000474</v>
      </c>
      <c r="E5" s="34">
        <f t="shared" si="0"/>
        <v>45.179339888000868</v>
      </c>
      <c r="F5" s="34">
        <f t="shared" si="0"/>
        <v>48.991393330158644</v>
      </c>
      <c r="G5" s="1">
        <f t="shared" si="0"/>
        <v>51.298364295769716</v>
      </c>
      <c r="H5" s="1">
        <f t="shared" si="0"/>
        <v>54.681225100600386</v>
      </c>
      <c r="I5" s="1">
        <f t="shared" si="0"/>
        <v>52.670252624630848</v>
      </c>
      <c r="J5" s="1">
        <f t="shared" si="0"/>
        <v>50.520736634104651</v>
      </c>
    </row>
    <row r="6" spans="1:10" ht="17" x14ac:dyDescent="0.6">
      <c r="A6" t="s">
        <v>192</v>
      </c>
      <c r="B6" s="34">
        <f>B5</f>
        <v>32.797599999999875</v>
      </c>
      <c r="C6" s="34">
        <f t="shared" ref="C6:J6" si="1">C5</f>
        <v>37.073120000000017</v>
      </c>
      <c r="D6" s="34">
        <f t="shared" si="1"/>
        <v>41.203378400000474</v>
      </c>
      <c r="E6" s="34">
        <f t="shared" si="1"/>
        <v>45.179339888000868</v>
      </c>
      <c r="F6" s="34">
        <f t="shared" si="1"/>
        <v>48.991393330158644</v>
      </c>
      <c r="G6" s="1">
        <f t="shared" si="1"/>
        <v>51.298364295769716</v>
      </c>
      <c r="H6" s="1">
        <f t="shared" si="1"/>
        <v>54.681225100600386</v>
      </c>
      <c r="I6" s="1">
        <f t="shared" si="1"/>
        <v>52.670252624630848</v>
      </c>
      <c r="J6" s="1">
        <f t="shared" si="1"/>
        <v>50.520736634104651</v>
      </c>
    </row>
    <row r="7" spans="1:10" ht="17" x14ac:dyDescent="0.6">
      <c r="A7" t="s">
        <v>193</v>
      </c>
      <c r="B7" s="99">
        <f>'Ann 4'!C34/100000</f>
        <v>9.3212538461538443</v>
      </c>
      <c r="C7" s="99">
        <f>'Ann 4'!D34/100000</f>
        <v>18.361773846153849</v>
      </c>
      <c r="D7" s="99">
        <f>'Ann 4'!E34/100000</f>
        <v>25.11786878461572</v>
      </c>
      <c r="E7" s="99">
        <f>'Ann 4'!F34/100000</f>
        <v>31.463560561077411</v>
      </c>
      <c r="F7" s="99">
        <f>'Ann 4'!G34/100000</f>
        <v>37.426753979197649</v>
      </c>
      <c r="G7" s="5">
        <f>'Ann 4'!H34/100000</f>
        <v>41.698253155144926</v>
      </c>
      <c r="H7" s="5">
        <f>'Ann 4'!I34/100000</f>
        <v>46.886293169531015</v>
      </c>
      <c r="I7" s="5">
        <f>'Ann 4'!J34/100000</f>
        <v>46.222474075529369</v>
      </c>
      <c r="J7" s="5">
        <f>'Ann 4'!K34/100000</f>
        <v>44.767295177369121</v>
      </c>
    </row>
    <row r="8" spans="1:10" ht="17" x14ac:dyDescent="0.6">
      <c r="A8" t="s">
        <v>194</v>
      </c>
      <c r="B8" s="99">
        <f>'Ann 4'!C36/100000</f>
        <v>5.9248776923076925</v>
      </c>
      <c r="C8" s="99">
        <f>'Ann 4'!D36/100000</f>
        <v>12.853241692307694</v>
      </c>
      <c r="D8" s="99">
        <f>'Ann 4'!E36/100000</f>
        <v>17.582508149231003</v>
      </c>
      <c r="E8" s="99">
        <f>'Ann 4'!F36/100000</f>
        <v>22.02449239275419</v>
      </c>
      <c r="F8" s="99">
        <f>'Ann 4'!G36/100000</f>
        <v>26.198727785438354</v>
      </c>
      <c r="G8" s="5">
        <f>'Ann 4'!H36/100000</f>
        <v>29.188777208601451</v>
      </c>
      <c r="H8" s="5">
        <f>'Ann 4'!I36/100000</f>
        <v>32.820405218671709</v>
      </c>
      <c r="I8" s="5">
        <f>'Ann 4'!J36/100000</f>
        <v>32.355731852870562</v>
      </c>
      <c r="J8" s="5">
        <f>'Ann 4'!K36/100000</f>
        <v>31.337106624158384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B20" sqref="B20"/>
    </sheetView>
  </sheetViews>
  <sheetFormatPr defaultRowHeight="17" x14ac:dyDescent="0.6"/>
  <cols>
    <col min="1" max="1" width="8.7265625" style="8"/>
    <col min="2" max="2" width="84" style="8" bestFit="1" customWidth="1"/>
    <col min="3" max="3" width="12.36328125" style="8" bestFit="1" customWidth="1"/>
    <col min="4" max="12" width="12.54296875" style="8" bestFit="1" customWidth="1"/>
    <col min="13" max="16384" width="8.7265625" style="8"/>
  </cols>
  <sheetData>
    <row r="1" spans="1:12" x14ac:dyDescent="0.6">
      <c r="A1" s="7" t="s">
        <v>213</v>
      </c>
      <c r="B1" s="7" t="s">
        <v>214</v>
      </c>
    </row>
    <row r="2" spans="1:12" x14ac:dyDescent="0.6">
      <c r="A2" s="8">
        <v>1</v>
      </c>
      <c r="B2" s="8" t="s">
        <v>337</v>
      </c>
    </row>
    <row r="3" spans="1:12" x14ac:dyDescent="0.6">
      <c r="A3" s="8">
        <v>2</v>
      </c>
      <c r="B3" s="8" t="s">
        <v>215</v>
      </c>
    </row>
    <row r="4" spans="1:12" x14ac:dyDescent="0.6">
      <c r="C4" s="8" t="s">
        <v>169</v>
      </c>
      <c r="D4" s="8">
        <v>120000</v>
      </c>
      <c r="E4" s="8">
        <f>D4*1.05</f>
        <v>126000</v>
      </c>
      <c r="F4" s="8">
        <f t="shared" ref="F4:J4" si="0">E4*1.05</f>
        <v>132300</v>
      </c>
      <c r="G4" s="8">
        <f t="shared" si="0"/>
        <v>138915</v>
      </c>
      <c r="H4" s="8">
        <f t="shared" si="0"/>
        <v>145860.75</v>
      </c>
      <c r="I4" s="8">
        <f t="shared" si="0"/>
        <v>153153.78750000001</v>
      </c>
      <c r="J4" s="8">
        <f t="shared" si="0"/>
        <v>160811.47687500002</v>
      </c>
      <c r="K4" s="8">
        <f>J4</f>
        <v>160811.47687500002</v>
      </c>
      <c r="L4" s="8">
        <f>K4</f>
        <v>160811.47687500002</v>
      </c>
    </row>
    <row r="5" spans="1:12" x14ac:dyDescent="0.6">
      <c r="C5" s="8" t="s">
        <v>72</v>
      </c>
      <c r="D5" s="8">
        <f>D4*14</f>
        <v>1680000</v>
      </c>
      <c r="E5" s="8">
        <f t="shared" ref="E5:L5" si="1">E4*14</f>
        <v>1764000</v>
      </c>
      <c r="F5" s="8">
        <f t="shared" si="1"/>
        <v>1852200</v>
      </c>
      <c r="G5" s="8">
        <f t="shared" si="1"/>
        <v>1944810</v>
      </c>
      <c r="H5" s="8">
        <f t="shared" si="1"/>
        <v>2042050.5</v>
      </c>
      <c r="I5" s="8">
        <f t="shared" si="1"/>
        <v>2144153.0249999999</v>
      </c>
      <c r="J5" s="8">
        <f t="shared" si="1"/>
        <v>2251360.6762500005</v>
      </c>
      <c r="K5" s="8">
        <f t="shared" si="1"/>
        <v>2251360.6762500005</v>
      </c>
      <c r="L5" s="8">
        <f t="shared" si="1"/>
        <v>2251360.6762500005</v>
      </c>
    </row>
    <row r="6" spans="1:12" x14ac:dyDescent="0.6">
      <c r="A6" s="8">
        <v>3</v>
      </c>
      <c r="B6" s="8" t="s">
        <v>294</v>
      </c>
    </row>
    <row r="7" spans="1:12" x14ac:dyDescent="0.6">
      <c r="A7" s="8">
        <v>4</v>
      </c>
      <c r="B7" s="8" t="s">
        <v>291</v>
      </c>
    </row>
    <row r="8" spans="1:12" x14ac:dyDescent="0.6">
      <c r="A8" s="8">
        <v>5</v>
      </c>
      <c r="B8" s="8" t="s">
        <v>254</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138</v>
      </c>
    </row>
    <row r="2" spans="1:11" x14ac:dyDescent="0.35">
      <c r="C2" t="s">
        <v>39</v>
      </c>
      <c r="D2" t="s">
        <v>40</v>
      </c>
      <c r="E2" t="s">
        <v>41</v>
      </c>
      <c r="F2" t="s">
        <v>42</v>
      </c>
      <c r="G2" t="s">
        <v>43</v>
      </c>
      <c r="H2" t="s">
        <v>44</v>
      </c>
      <c r="I2" t="s">
        <v>45</v>
      </c>
      <c r="J2" t="s">
        <v>46</v>
      </c>
      <c r="K2" t="s">
        <v>47</v>
      </c>
    </row>
    <row r="3" spans="1:11" x14ac:dyDescent="0.35">
      <c r="A3" t="s">
        <v>139</v>
      </c>
      <c r="C3">
        <f>'Ann 4'!C23/300*270</f>
        <v>484690500</v>
      </c>
      <c r="D3">
        <f>'Ann 4'!D23/300*270</f>
        <v>519311250</v>
      </c>
      <c r="E3">
        <f>'Ann 4'!E23/300*270</f>
        <v>553932000</v>
      </c>
      <c r="F3">
        <f>'Ann 4'!F23/300*270</f>
        <v>588552750</v>
      </c>
      <c r="G3">
        <f>'Ann 4'!G23/300*270</f>
        <v>623173500</v>
      </c>
      <c r="H3">
        <f>'Ann 4'!H23/300*270</f>
        <v>670600012.49999988</v>
      </c>
      <c r="I3">
        <f>'Ann 4'!I23/300*270</f>
        <v>705894750</v>
      </c>
      <c r="J3">
        <f>'Ann 4'!J23/300*270</f>
        <v>705894750</v>
      </c>
      <c r="K3">
        <f>'Ann 4'!K23/300*270</f>
        <v>705894750</v>
      </c>
    </row>
    <row r="4" spans="1:11" x14ac:dyDescent="0.35">
      <c r="A4" t="s">
        <v>140</v>
      </c>
      <c r="C4">
        <v>5000000</v>
      </c>
    </row>
    <row r="5" spans="1:11" x14ac:dyDescent="0.35">
      <c r="A5" t="s">
        <v>141</v>
      </c>
      <c r="C5">
        <v>21492978</v>
      </c>
    </row>
    <row r="7" spans="1:11" x14ac:dyDescent="0.35">
      <c r="A7" t="s">
        <v>142</v>
      </c>
      <c r="C7">
        <f>'Ann 3'!E18</f>
        <v>10300000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D44"/>
  <sheetViews>
    <sheetView topLeftCell="A27" workbookViewId="0">
      <selection activeCell="C32" sqref="C32"/>
    </sheetView>
  </sheetViews>
  <sheetFormatPr defaultRowHeight="17" x14ac:dyDescent="0.6"/>
  <cols>
    <col min="1" max="1" width="8.7265625" style="8"/>
    <col min="2" max="2" width="44.90625" style="8" customWidth="1"/>
    <col min="3" max="3" width="13.26953125" style="8" customWidth="1"/>
    <col min="4" max="16384" width="8.7265625" style="8"/>
  </cols>
  <sheetData>
    <row r="1" spans="1:3" x14ac:dyDescent="0.6">
      <c r="A1" s="7" t="s">
        <v>216</v>
      </c>
    </row>
    <row r="3" spans="1:3" x14ac:dyDescent="0.6">
      <c r="A3" s="7" t="s">
        <v>0</v>
      </c>
    </row>
    <row r="5" spans="1:3" x14ac:dyDescent="0.6">
      <c r="A5" s="26" t="s">
        <v>1</v>
      </c>
      <c r="B5" s="27"/>
      <c r="C5" s="28"/>
    </row>
    <row r="6" spans="1:3" ht="34" x14ac:dyDescent="0.6">
      <c r="A6" s="29" t="s">
        <v>2</v>
      </c>
      <c r="B6" s="29" t="s">
        <v>3</v>
      </c>
      <c r="C6" s="30" t="s">
        <v>4</v>
      </c>
    </row>
    <row r="7" spans="1:3" x14ac:dyDescent="0.6">
      <c r="A7" s="13">
        <v>1</v>
      </c>
      <c r="B7" s="14" t="s">
        <v>6</v>
      </c>
      <c r="C7" s="15"/>
    </row>
    <row r="8" spans="1:3" x14ac:dyDescent="0.6">
      <c r="A8" s="13" t="s">
        <v>5</v>
      </c>
      <c r="B8" s="14" t="s">
        <v>7</v>
      </c>
      <c r="C8" s="16">
        <v>0</v>
      </c>
    </row>
    <row r="9" spans="1:3" x14ac:dyDescent="0.6">
      <c r="A9" s="13"/>
      <c r="B9" s="14" t="s">
        <v>8</v>
      </c>
      <c r="C9" s="16">
        <f>SUM(C8)</f>
        <v>0</v>
      </c>
    </row>
    <row r="10" spans="1:3" x14ac:dyDescent="0.6">
      <c r="A10" s="13"/>
      <c r="B10" s="14"/>
      <c r="C10" s="15"/>
    </row>
    <row r="11" spans="1:3" x14ac:dyDescent="0.6">
      <c r="A11" s="13">
        <v>2</v>
      </c>
      <c r="B11" s="14" t="s">
        <v>164</v>
      </c>
      <c r="C11" s="16">
        <v>0</v>
      </c>
    </row>
    <row r="12" spans="1:3" x14ac:dyDescent="0.6">
      <c r="A12" s="13" t="s">
        <v>5</v>
      </c>
      <c r="B12" s="14" t="s">
        <v>8</v>
      </c>
      <c r="C12" s="16">
        <f>C11</f>
        <v>0</v>
      </c>
    </row>
    <row r="13" spans="1:3" x14ac:dyDescent="0.6">
      <c r="A13" s="13"/>
      <c r="B13" s="14"/>
      <c r="C13" s="15"/>
    </row>
    <row r="14" spans="1:3" x14ac:dyDescent="0.6">
      <c r="A14" s="13">
        <v>3</v>
      </c>
      <c r="B14" s="14" t="s">
        <v>9</v>
      </c>
      <c r="C14" s="15"/>
    </row>
    <row r="15" spans="1:3" x14ac:dyDescent="0.6">
      <c r="A15" s="13" t="s">
        <v>5</v>
      </c>
      <c r="B15" s="14" t="s">
        <v>9</v>
      </c>
      <c r="C15" s="17">
        <f>(5000*400)/100000</f>
        <v>20</v>
      </c>
    </row>
    <row r="16" spans="1:3" x14ac:dyDescent="0.6">
      <c r="A16" s="13"/>
      <c r="B16" s="14" t="s">
        <v>8</v>
      </c>
      <c r="C16" s="17">
        <f>C15</f>
        <v>20</v>
      </c>
    </row>
    <row r="17" spans="1:4" x14ac:dyDescent="0.6">
      <c r="A17" s="13"/>
      <c r="B17" s="14"/>
      <c r="C17" s="15"/>
    </row>
    <row r="18" spans="1:4" x14ac:dyDescent="0.6">
      <c r="A18" s="13">
        <v>4</v>
      </c>
      <c r="B18" s="14" t="s">
        <v>10</v>
      </c>
      <c r="C18" s="15"/>
    </row>
    <row r="19" spans="1:4" x14ac:dyDescent="0.6">
      <c r="A19" s="13" t="s">
        <v>5</v>
      </c>
      <c r="B19" s="14" t="s">
        <v>11</v>
      </c>
      <c r="C19" s="17">
        <f>'Ann 3'!E16/100000</f>
        <v>83</v>
      </c>
    </row>
    <row r="20" spans="1:4" x14ac:dyDescent="0.6">
      <c r="A20" s="13"/>
      <c r="B20" s="14" t="s">
        <v>8</v>
      </c>
      <c r="C20" s="18">
        <f>C19</f>
        <v>83</v>
      </c>
    </row>
    <row r="21" spans="1:4" x14ac:dyDescent="0.6">
      <c r="A21" s="13"/>
      <c r="B21" s="14"/>
      <c r="C21" s="15"/>
    </row>
    <row r="22" spans="1:4" x14ac:dyDescent="0.6">
      <c r="A22" s="13">
        <v>5</v>
      </c>
      <c r="B22" s="14" t="s">
        <v>12</v>
      </c>
      <c r="C22" s="15"/>
    </row>
    <row r="23" spans="1:4" x14ac:dyDescent="0.6">
      <c r="A23" s="13" t="s">
        <v>5</v>
      </c>
      <c r="B23" s="14" t="s">
        <v>13</v>
      </c>
      <c r="C23" s="16">
        <v>0</v>
      </c>
    </row>
    <row r="24" spans="1:4" x14ac:dyDescent="0.6">
      <c r="A24" s="13"/>
      <c r="B24" s="14"/>
      <c r="C24" s="16"/>
    </row>
    <row r="25" spans="1:4" x14ac:dyDescent="0.6">
      <c r="A25" s="13">
        <v>6</v>
      </c>
      <c r="B25" s="14" t="s">
        <v>14</v>
      </c>
      <c r="C25" s="16">
        <v>15</v>
      </c>
      <c r="D25" s="117"/>
    </row>
    <row r="26" spans="1:4" x14ac:dyDescent="0.6">
      <c r="A26" s="13"/>
      <c r="B26" s="14"/>
      <c r="C26" s="16"/>
    </row>
    <row r="27" spans="1:4" x14ac:dyDescent="0.6">
      <c r="A27" s="13">
        <v>7</v>
      </c>
      <c r="B27" s="14" t="s">
        <v>15</v>
      </c>
      <c r="C27" s="16">
        <v>0</v>
      </c>
    </row>
    <row r="28" spans="1:4" x14ac:dyDescent="0.6">
      <c r="A28" s="13" t="s">
        <v>5</v>
      </c>
      <c r="B28" s="14" t="s">
        <v>16</v>
      </c>
      <c r="C28" s="16">
        <v>0</v>
      </c>
    </row>
    <row r="29" spans="1:4" x14ac:dyDescent="0.6">
      <c r="A29" s="13"/>
      <c r="B29" s="14" t="s">
        <v>8</v>
      </c>
      <c r="C29" s="16"/>
    </row>
    <row r="30" spans="1:4" x14ac:dyDescent="0.6">
      <c r="A30" s="13"/>
      <c r="B30" s="14"/>
      <c r="C30" s="16"/>
    </row>
    <row r="31" spans="1:4" x14ac:dyDescent="0.6">
      <c r="A31" s="13">
        <v>8</v>
      </c>
      <c r="B31" s="14" t="s">
        <v>17</v>
      </c>
      <c r="C31" s="15"/>
    </row>
    <row r="32" spans="1:4" ht="34" x14ac:dyDescent="0.6">
      <c r="A32" s="13"/>
      <c r="B32" s="19" t="s">
        <v>18</v>
      </c>
      <c r="C32" s="15"/>
    </row>
    <row r="33" spans="1:4" x14ac:dyDescent="0.6">
      <c r="A33" s="13" t="s">
        <v>5</v>
      </c>
      <c r="B33" s="14" t="s">
        <v>19</v>
      </c>
      <c r="C33" s="16"/>
    </row>
    <row r="34" spans="1:4" x14ac:dyDescent="0.6">
      <c r="A34" s="13" t="s">
        <v>20</v>
      </c>
      <c r="B34" s="14" t="s">
        <v>21</v>
      </c>
      <c r="C34" s="16">
        <v>2</v>
      </c>
    </row>
    <row r="35" spans="1:4" x14ac:dyDescent="0.6">
      <c r="A35" s="13"/>
      <c r="B35" s="14" t="s">
        <v>8</v>
      </c>
      <c r="C35" s="16">
        <f>SUM(C33:C34)</f>
        <v>2</v>
      </c>
    </row>
    <row r="36" spans="1:4" x14ac:dyDescent="0.6">
      <c r="A36" s="13"/>
      <c r="B36" s="14"/>
      <c r="C36" s="16"/>
    </row>
    <row r="37" spans="1:4" x14ac:dyDescent="0.6">
      <c r="A37" s="13">
        <v>9</v>
      </c>
      <c r="B37" s="14" t="s">
        <v>245</v>
      </c>
      <c r="C37" s="16">
        <v>0</v>
      </c>
    </row>
    <row r="38" spans="1:4" x14ac:dyDescent="0.6">
      <c r="A38" s="13"/>
      <c r="B38" s="14"/>
      <c r="C38" s="16"/>
    </row>
    <row r="39" spans="1:4" x14ac:dyDescent="0.6">
      <c r="A39" s="13">
        <v>10</v>
      </c>
      <c r="B39" s="14" t="s">
        <v>64</v>
      </c>
      <c r="C39" s="20">
        <v>0</v>
      </c>
      <c r="D39" s="21"/>
    </row>
    <row r="40" spans="1:4" x14ac:dyDescent="0.6">
      <c r="A40" s="13"/>
      <c r="B40" s="14"/>
      <c r="C40" s="15"/>
    </row>
    <row r="41" spans="1:4" x14ac:dyDescent="0.6">
      <c r="A41" s="22"/>
      <c r="B41" s="23" t="s">
        <v>22</v>
      </c>
      <c r="C41" s="24">
        <f>C35+C27+C25+C20+C16+C23+C37+C12+C9+C39</f>
        <v>120</v>
      </c>
    </row>
    <row r="42" spans="1:4" x14ac:dyDescent="0.6">
      <c r="A42" s="25"/>
    </row>
    <row r="43" spans="1:4" x14ac:dyDescent="0.6">
      <c r="A43" s="25"/>
    </row>
    <row r="44" spans="1:4" x14ac:dyDescent="0.6">
      <c r="A44" s="25"/>
    </row>
  </sheetData>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E7" sqref="E7"/>
    </sheetView>
  </sheetViews>
  <sheetFormatPr defaultRowHeight="17" x14ac:dyDescent="0.6"/>
  <cols>
    <col min="1" max="1" width="8.7265625" style="8"/>
    <col min="2" max="2" width="22.08984375" style="8" customWidth="1"/>
    <col min="3" max="3" width="18.81640625" style="8" bestFit="1" customWidth="1"/>
    <col min="4" max="16384" width="8.7265625" style="8"/>
  </cols>
  <sheetData>
    <row r="1" spans="1:4" x14ac:dyDescent="0.6">
      <c r="A1" s="7" t="s">
        <v>23</v>
      </c>
    </row>
    <row r="3" spans="1:4" s="7" customFormat="1" x14ac:dyDescent="0.6">
      <c r="A3" s="52" t="s">
        <v>24</v>
      </c>
      <c r="B3" s="53" t="s">
        <v>25</v>
      </c>
      <c r="C3" s="54" t="s">
        <v>4</v>
      </c>
    </row>
    <row r="4" spans="1:4" x14ac:dyDescent="0.6">
      <c r="A4" s="31">
        <v>1</v>
      </c>
      <c r="B4" s="8" t="s">
        <v>26</v>
      </c>
      <c r="C4" s="18">
        <f>C8*10%</f>
        <v>12</v>
      </c>
      <c r="D4" s="33"/>
    </row>
    <row r="5" spans="1:4" x14ac:dyDescent="0.6">
      <c r="A5" s="31">
        <v>2</v>
      </c>
      <c r="B5" s="8" t="s">
        <v>27</v>
      </c>
      <c r="C5" s="18">
        <v>0</v>
      </c>
      <c r="D5" s="33"/>
    </row>
    <row r="6" spans="1:4" x14ac:dyDescent="0.6">
      <c r="A6" s="31">
        <v>3</v>
      </c>
      <c r="B6" s="8" t="s">
        <v>28</v>
      </c>
      <c r="C6" s="16">
        <f>C8-C4-C7</f>
        <v>93</v>
      </c>
      <c r="D6" s="33"/>
    </row>
    <row r="7" spans="1:4" x14ac:dyDescent="0.6">
      <c r="A7" s="31">
        <v>4</v>
      </c>
      <c r="B7" s="8" t="s">
        <v>29</v>
      </c>
      <c r="C7" s="16">
        <f>'Ann 1'!C25</f>
        <v>15</v>
      </c>
      <c r="D7" s="33"/>
    </row>
    <row r="8" spans="1:4" s="7" customFormat="1" x14ac:dyDescent="0.6">
      <c r="A8" s="48"/>
      <c r="B8" s="49" t="s">
        <v>8</v>
      </c>
      <c r="C8" s="118">
        <f>'Ann 1'!C41</f>
        <v>120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E20"/>
  <sheetViews>
    <sheetView tabSelected="1" workbookViewId="0">
      <selection activeCell="B12" sqref="B12"/>
    </sheetView>
  </sheetViews>
  <sheetFormatPr defaultRowHeight="17" x14ac:dyDescent="0.6"/>
  <cols>
    <col min="1" max="1" width="2.81640625" style="8" bestFit="1" customWidth="1"/>
    <col min="2" max="2" width="90.1796875" style="8" bestFit="1" customWidth="1"/>
    <col min="3" max="3" width="8.7265625" style="8"/>
    <col min="4" max="4" width="10.54296875" style="8" customWidth="1"/>
    <col min="5" max="5" width="12.1796875" style="8" bestFit="1" customWidth="1"/>
    <col min="6" max="6" width="8.7265625" style="8"/>
    <col min="7" max="7" width="9.1796875" style="8" bestFit="1" customWidth="1"/>
    <col min="8" max="16384" width="8.7265625" style="8"/>
  </cols>
  <sheetData>
    <row r="1" spans="1:5" x14ac:dyDescent="0.6">
      <c r="A1" s="7" t="s">
        <v>30</v>
      </c>
    </row>
    <row r="3" spans="1:5" x14ac:dyDescent="0.6">
      <c r="A3" s="52" t="s">
        <v>238</v>
      </c>
      <c r="B3" s="53"/>
      <c r="C3" s="53" t="s">
        <v>31</v>
      </c>
      <c r="D3" s="53"/>
      <c r="E3" s="54" t="s">
        <v>32</v>
      </c>
    </row>
    <row r="4" spans="1:5" x14ac:dyDescent="0.6">
      <c r="A4" s="37">
        <v>1</v>
      </c>
      <c r="B4" s="38" t="s">
        <v>246</v>
      </c>
      <c r="C4" s="39">
        <v>1</v>
      </c>
      <c r="D4" s="40"/>
      <c r="E4" s="41">
        <f>5000*400</f>
        <v>2000000</v>
      </c>
    </row>
    <row r="5" spans="1:5" x14ac:dyDescent="0.6">
      <c r="A5" s="42" t="s">
        <v>239</v>
      </c>
      <c r="B5" s="43"/>
      <c r="C5" s="43"/>
      <c r="D5" s="43"/>
      <c r="E5" s="44">
        <f>SUM(E4:E4)</f>
        <v>2000000</v>
      </c>
    </row>
    <row r="6" spans="1:5" x14ac:dyDescent="0.6">
      <c r="A6" s="35"/>
      <c r="B6" s="36"/>
      <c r="C6" s="36"/>
      <c r="D6" s="36"/>
      <c r="E6" s="45"/>
    </row>
    <row r="7" spans="1:5" x14ac:dyDescent="0.6">
      <c r="A7" s="52" t="s">
        <v>33</v>
      </c>
      <c r="B7" s="53"/>
      <c r="C7" s="53" t="s">
        <v>31</v>
      </c>
      <c r="D7" s="53"/>
      <c r="E7" s="54" t="s">
        <v>32</v>
      </c>
    </row>
    <row r="8" spans="1:5" x14ac:dyDescent="0.6">
      <c r="A8" s="37">
        <v>1</v>
      </c>
      <c r="B8" s="46" t="s">
        <v>298</v>
      </c>
      <c r="C8" s="39">
        <v>1</v>
      </c>
      <c r="D8" s="40"/>
      <c r="E8" s="120">
        <v>200000</v>
      </c>
    </row>
    <row r="9" spans="1:5" x14ac:dyDescent="0.6">
      <c r="A9" s="31">
        <v>2</v>
      </c>
      <c r="B9" s="46" t="s">
        <v>299</v>
      </c>
      <c r="C9" s="46">
        <v>1</v>
      </c>
      <c r="D9" s="47" t="s">
        <v>300</v>
      </c>
      <c r="E9" s="121">
        <v>3600000</v>
      </c>
    </row>
    <row r="10" spans="1:5" x14ac:dyDescent="0.6">
      <c r="A10" s="31">
        <v>3</v>
      </c>
      <c r="B10" s="46" t="s">
        <v>301</v>
      </c>
      <c r="C10" s="46">
        <v>1</v>
      </c>
      <c r="D10" s="47"/>
      <c r="E10" s="121">
        <v>300000</v>
      </c>
    </row>
    <row r="11" spans="1:5" x14ac:dyDescent="0.6">
      <c r="A11" s="31">
        <v>4</v>
      </c>
      <c r="B11" s="46" t="s">
        <v>339</v>
      </c>
      <c r="C11" s="46">
        <v>1</v>
      </c>
      <c r="D11" s="47"/>
      <c r="E11" s="121">
        <v>2400000</v>
      </c>
    </row>
    <row r="12" spans="1:5" x14ac:dyDescent="0.6">
      <c r="A12" s="31">
        <v>5</v>
      </c>
      <c r="B12" s="46" t="s">
        <v>302</v>
      </c>
      <c r="C12" s="46">
        <v>1</v>
      </c>
      <c r="D12" s="47" t="s">
        <v>303</v>
      </c>
      <c r="E12" s="121">
        <v>450000</v>
      </c>
    </row>
    <row r="13" spans="1:5" x14ac:dyDescent="0.6">
      <c r="A13" s="31">
        <v>6</v>
      </c>
      <c r="B13" s="46" t="s">
        <v>305</v>
      </c>
      <c r="C13" s="46">
        <v>1</v>
      </c>
      <c r="D13" s="47"/>
      <c r="E13" s="121">
        <v>200000</v>
      </c>
    </row>
    <row r="14" spans="1:5" x14ac:dyDescent="0.6">
      <c r="A14" s="31">
        <v>7</v>
      </c>
      <c r="B14" s="46" t="s">
        <v>304</v>
      </c>
      <c r="C14" s="46">
        <v>1</v>
      </c>
      <c r="D14" s="47"/>
      <c r="E14" s="121">
        <v>1000000</v>
      </c>
    </row>
    <row r="15" spans="1:5" x14ac:dyDescent="0.6">
      <c r="A15" s="31">
        <v>8</v>
      </c>
      <c r="B15" s="46" t="s">
        <v>306</v>
      </c>
      <c r="C15" s="46">
        <v>1</v>
      </c>
      <c r="D15" s="47"/>
      <c r="E15" s="121">
        <v>150000</v>
      </c>
    </row>
    <row r="16" spans="1:5" s="7" customFormat="1" x14ac:dyDescent="0.6">
      <c r="A16" s="48" t="s">
        <v>34</v>
      </c>
      <c r="B16" s="49"/>
      <c r="C16" s="49"/>
      <c r="D16" s="49"/>
      <c r="E16" s="50">
        <f>SUM(E8:E15)</f>
        <v>8300000</v>
      </c>
    </row>
    <row r="17" spans="1:5" x14ac:dyDescent="0.6">
      <c r="A17" s="31"/>
      <c r="B17" s="32"/>
      <c r="C17" s="32"/>
      <c r="D17" s="32"/>
      <c r="E17" s="15"/>
    </row>
    <row r="18" spans="1:5" s="7" customFormat="1" x14ac:dyDescent="0.6">
      <c r="A18" s="48" t="s">
        <v>35</v>
      </c>
      <c r="B18" s="49"/>
      <c r="C18" s="49"/>
      <c r="D18" s="49"/>
      <c r="E18" s="50">
        <f>E16+E5</f>
        <v>10300000</v>
      </c>
    </row>
    <row r="19" spans="1:5" x14ac:dyDescent="0.6">
      <c r="E19" s="21"/>
    </row>
    <row r="20" spans="1:5" x14ac:dyDescent="0.6">
      <c r="E20" s="51"/>
    </row>
  </sheetData>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4"/>
  <sheetViews>
    <sheetView topLeftCell="A19" workbookViewId="0">
      <selection activeCell="B35" sqref="B35"/>
    </sheetView>
  </sheetViews>
  <sheetFormatPr defaultRowHeight="17" x14ac:dyDescent="0.6"/>
  <cols>
    <col min="1" max="1" width="8.7265625" style="8"/>
    <col min="2" max="2" width="55.7265625" style="8" bestFit="1" customWidth="1"/>
    <col min="3" max="11" width="15.6328125" style="8" bestFit="1" customWidth="1"/>
    <col min="12" max="16384" width="8.7265625" style="8"/>
  </cols>
  <sheetData>
    <row r="1" spans="1:11" x14ac:dyDescent="0.6">
      <c r="A1" s="7" t="s">
        <v>36</v>
      </c>
    </row>
    <row r="3" spans="1:11" x14ac:dyDescent="0.6">
      <c r="A3" s="135" t="s">
        <v>37</v>
      </c>
      <c r="B3" s="135" t="s">
        <v>38</v>
      </c>
      <c r="C3" s="134" t="s">
        <v>48</v>
      </c>
      <c r="D3" s="134"/>
      <c r="E3" s="134"/>
      <c r="F3" s="134"/>
      <c r="G3" s="134"/>
      <c r="H3" s="134"/>
      <c r="I3" s="134"/>
      <c r="J3" s="134"/>
      <c r="K3" s="134"/>
    </row>
    <row r="4" spans="1:11" x14ac:dyDescent="0.6">
      <c r="A4" s="136"/>
      <c r="B4" s="136"/>
      <c r="C4" s="58" t="s">
        <v>39</v>
      </c>
      <c r="D4" s="57" t="s">
        <v>40</v>
      </c>
      <c r="E4" s="57" t="s">
        <v>41</v>
      </c>
      <c r="F4" s="57" t="s">
        <v>42</v>
      </c>
      <c r="G4" s="57" t="s">
        <v>43</v>
      </c>
      <c r="H4" s="57" t="s">
        <v>44</v>
      </c>
      <c r="I4" s="57" t="s">
        <v>45</v>
      </c>
      <c r="J4" s="57" t="s">
        <v>46</v>
      </c>
      <c r="K4" s="57" t="s">
        <v>47</v>
      </c>
    </row>
    <row r="5" spans="1:11" x14ac:dyDescent="0.6">
      <c r="A5" s="9"/>
      <c r="B5" s="9" t="s">
        <v>49</v>
      </c>
      <c r="C5" s="9">
        <v>12</v>
      </c>
      <c r="D5" s="9">
        <v>12</v>
      </c>
      <c r="E5" s="9">
        <v>12</v>
      </c>
      <c r="F5" s="9">
        <v>12</v>
      </c>
      <c r="G5" s="9">
        <v>12</v>
      </c>
      <c r="H5" s="9">
        <v>12</v>
      </c>
      <c r="I5" s="9">
        <v>12</v>
      </c>
      <c r="J5" s="9">
        <v>12</v>
      </c>
      <c r="K5" s="9">
        <v>12</v>
      </c>
    </row>
    <row r="6" spans="1:11" x14ac:dyDescent="0.6">
      <c r="A6" s="9"/>
      <c r="B6" s="9"/>
      <c r="C6" s="9"/>
      <c r="D6" s="9"/>
      <c r="E6" s="9"/>
      <c r="F6" s="9"/>
      <c r="G6" s="9"/>
      <c r="H6" s="9"/>
      <c r="I6" s="9"/>
      <c r="J6" s="9"/>
      <c r="K6" s="9"/>
    </row>
    <row r="7" spans="1:11" x14ac:dyDescent="0.6">
      <c r="A7" s="9"/>
      <c r="B7" s="9" t="s">
        <v>316</v>
      </c>
      <c r="C7" s="55">
        <f>Budgets!C6*Budgets!$E$26</f>
        <v>462000000</v>
      </c>
      <c r="D7" s="55">
        <f>Budgets!D6*Budgets!$E$26</f>
        <v>495000000</v>
      </c>
      <c r="E7" s="55">
        <f>Budgets!E6*Budgets!$E$26</f>
        <v>528000000</v>
      </c>
      <c r="F7" s="55">
        <f>Budgets!F6*Budgets!$E$26</f>
        <v>561000000</v>
      </c>
      <c r="G7" s="55">
        <f>Budgets!G6*Budgets!$E$26</f>
        <v>594000000</v>
      </c>
      <c r="H7" s="55">
        <f>Budgets!H6*Budgets!$E$26</f>
        <v>627000000</v>
      </c>
      <c r="I7" s="55">
        <f>Budgets!I6*Budgets!$E$26</f>
        <v>660000000</v>
      </c>
      <c r="J7" s="55">
        <f>Budgets!J6*Budgets!$E$26</f>
        <v>660000000</v>
      </c>
      <c r="K7" s="55">
        <f>Budgets!K6*Budgets!$E$26</f>
        <v>660000000</v>
      </c>
    </row>
    <row r="8" spans="1:11" x14ac:dyDescent="0.6">
      <c r="A8" s="9"/>
      <c r="B8" s="9" t="s">
        <v>168</v>
      </c>
      <c r="C8" s="55">
        <f>500000+C43</f>
        <v>2600000</v>
      </c>
      <c r="D8" s="55">
        <f t="shared" ref="D8:K8" si="0">500000+D43</f>
        <v>2705000</v>
      </c>
      <c r="E8" s="55">
        <f t="shared" si="0"/>
        <v>2815250</v>
      </c>
      <c r="F8" s="55">
        <f t="shared" si="0"/>
        <v>2931012.5</v>
      </c>
      <c r="G8" s="55">
        <f t="shared" si="0"/>
        <v>3052563.125</v>
      </c>
      <c r="H8" s="55">
        <f t="shared" si="0"/>
        <v>3180191.28125</v>
      </c>
      <c r="I8" s="55">
        <f t="shared" si="0"/>
        <v>3314200.8453124999</v>
      </c>
      <c r="J8" s="55">
        <f t="shared" si="0"/>
        <v>3314200.8453124999</v>
      </c>
      <c r="K8" s="55">
        <f t="shared" si="0"/>
        <v>3314200.8453124999</v>
      </c>
    </row>
    <row r="9" spans="1:11" x14ac:dyDescent="0.6">
      <c r="A9" s="9"/>
      <c r="B9" s="9" t="s">
        <v>253</v>
      </c>
      <c r="C9" s="55">
        <f>2%*'Ann 3'!E16</f>
        <v>166000</v>
      </c>
      <c r="D9" s="55">
        <f>C9*1.05</f>
        <v>174300</v>
      </c>
      <c r="E9" s="55">
        <f t="shared" ref="E9:K9" si="1">D9*1.05</f>
        <v>183015</v>
      </c>
      <c r="F9" s="55">
        <f t="shared" si="1"/>
        <v>192165.75</v>
      </c>
      <c r="G9" s="55">
        <f t="shared" si="1"/>
        <v>201774.03750000001</v>
      </c>
      <c r="H9" s="55">
        <f t="shared" si="1"/>
        <v>211862.739375</v>
      </c>
      <c r="I9" s="55">
        <f t="shared" si="1"/>
        <v>222455.87634375002</v>
      </c>
      <c r="J9" s="55">
        <f t="shared" si="1"/>
        <v>233578.67016093753</v>
      </c>
      <c r="K9" s="55">
        <f t="shared" si="1"/>
        <v>245257.6036689844</v>
      </c>
    </row>
    <row r="10" spans="1:11" x14ac:dyDescent="0.6">
      <c r="A10" s="9"/>
      <c r="B10" s="9" t="s">
        <v>338</v>
      </c>
      <c r="C10" s="55">
        <f>C7*12.5%</f>
        <v>57750000</v>
      </c>
      <c r="D10" s="55">
        <f t="shared" ref="D10:K10" si="2">D7*12.5%</f>
        <v>61875000</v>
      </c>
      <c r="E10" s="55">
        <f t="shared" si="2"/>
        <v>66000000</v>
      </c>
      <c r="F10" s="55">
        <f t="shared" si="2"/>
        <v>70125000</v>
      </c>
      <c r="G10" s="55">
        <f t="shared" si="2"/>
        <v>74250000</v>
      </c>
      <c r="H10" s="55">
        <f t="shared" si="2"/>
        <v>78375000</v>
      </c>
      <c r="I10" s="55">
        <f t="shared" si="2"/>
        <v>82500000</v>
      </c>
      <c r="J10" s="55">
        <f t="shared" si="2"/>
        <v>82500000</v>
      </c>
      <c r="K10" s="55">
        <f t="shared" si="2"/>
        <v>82500000</v>
      </c>
    </row>
    <row r="11" spans="1:11" x14ac:dyDescent="0.6">
      <c r="A11" s="9"/>
      <c r="B11" s="9" t="s">
        <v>170</v>
      </c>
      <c r="C11" s="55">
        <f>SUM(C7:C10)</f>
        <v>522516000</v>
      </c>
      <c r="D11" s="55">
        <f t="shared" ref="D11:K11" si="3">SUM(D7:D10)</f>
        <v>559754300</v>
      </c>
      <c r="E11" s="55">
        <f t="shared" si="3"/>
        <v>596998265</v>
      </c>
      <c r="F11" s="55">
        <f t="shared" si="3"/>
        <v>634248178.25</v>
      </c>
      <c r="G11" s="55">
        <f t="shared" si="3"/>
        <v>671504337.16250002</v>
      </c>
      <c r="H11" s="55">
        <f t="shared" si="3"/>
        <v>708767054.020625</v>
      </c>
      <c r="I11" s="55">
        <f t="shared" si="3"/>
        <v>746036656.7216562</v>
      </c>
      <c r="J11" s="55">
        <f t="shared" si="3"/>
        <v>746047779.51547337</v>
      </c>
      <c r="K11" s="55">
        <f t="shared" si="3"/>
        <v>746059458.4489814</v>
      </c>
    </row>
    <row r="12" spans="1:11" x14ac:dyDescent="0.6">
      <c r="A12" s="9"/>
      <c r="B12" s="9" t="s">
        <v>255</v>
      </c>
      <c r="C12" s="55">
        <v>0</v>
      </c>
      <c r="D12" s="55">
        <f>C13</f>
        <v>5291160</v>
      </c>
      <c r="E12" s="55">
        <f t="shared" ref="E12:K12" si="4">D13</f>
        <v>10960260</v>
      </c>
      <c r="F12" s="55">
        <f t="shared" si="4"/>
        <v>17007300</v>
      </c>
      <c r="G12" s="55">
        <f t="shared" si="4"/>
        <v>23432280</v>
      </c>
      <c r="H12" s="55">
        <f t="shared" si="4"/>
        <v>30235200</v>
      </c>
      <c r="I12" s="55">
        <f t="shared" si="4"/>
        <v>23054340</v>
      </c>
      <c r="J12" s="55">
        <f t="shared" si="4"/>
        <v>15495540</v>
      </c>
      <c r="K12" s="55">
        <f t="shared" si="4"/>
        <v>7936740</v>
      </c>
    </row>
    <row r="13" spans="1:11" x14ac:dyDescent="0.6">
      <c r="A13" s="9"/>
      <c r="B13" s="9" t="s">
        <v>256</v>
      </c>
      <c r="C13" s="55">
        <f>Budgets!C53+Budgets!C44+Budgets!C35</f>
        <v>5291160</v>
      </c>
      <c r="D13" s="55">
        <f>Budgets!D53+Budgets!D44+Budgets!D35</f>
        <v>10960260</v>
      </c>
      <c r="E13" s="55">
        <f>Budgets!E53+Budgets!E44+Budgets!E35</f>
        <v>17007300</v>
      </c>
      <c r="F13" s="55">
        <f>Budgets!F53+Budgets!F44+Budgets!F35</f>
        <v>23432280</v>
      </c>
      <c r="G13" s="55">
        <f>Budgets!G53+Budgets!G44+Budgets!G35</f>
        <v>30235200</v>
      </c>
      <c r="H13" s="55">
        <f>Budgets!H53+Budgets!H44+Budgets!H35</f>
        <v>23054340</v>
      </c>
      <c r="I13" s="55">
        <f>Budgets!I53+Budgets!I44+Budgets!I35</f>
        <v>15495540</v>
      </c>
      <c r="J13" s="55">
        <f>Budgets!J53+Budgets!J44+Budgets!J35</f>
        <v>7936740</v>
      </c>
      <c r="K13" s="55">
        <f>Budgets!K53+Budgets!K44+Budgets!K35</f>
        <v>377940</v>
      </c>
    </row>
    <row r="14" spans="1:11" x14ac:dyDescent="0.6">
      <c r="A14" s="9"/>
      <c r="B14" s="9" t="s">
        <v>171</v>
      </c>
      <c r="C14" s="55">
        <f>C11+C12-C13</f>
        <v>517224840</v>
      </c>
      <c r="D14" s="55">
        <f t="shared" ref="D14:K14" si="5">D11+D12-D13</f>
        <v>554085200</v>
      </c>
      <c r="E14" s="55">
        <f t="shared" si="5"/>
        <v>590951225</v>
      </c>
      <c r="F14" s="55">
        <f t="shared" si="5"/>
        <v>627823198.25</v>
      </c>
      <c r="G14" s="55">
        <f t="shared" si="5"/>
        <v>664701417.16250002</v>
      </c>
      <c r="H14" s="55">
        <f t="shared" si="5"/>
        <v>715947914.020625</v>
      </c>
      <c r="I14" s="55">
        <f t="shared" si="5"/>
        <v>753595456.7216562</v>
      </c>
      <c r="J14" s="55">
        <f t="shared" si="5"/>
        <v>753606579.51547337</v>
      </c>
      <c r="K14" s="55">
        <f t="shared" si="5"/>
        <v>753618258.4489814</v>
      </c>
    </row>
    <row r="15" spans="1:11" x14ac:dyDescent="0.6">
      <c r="A15" s="9"/>
      <c r="B15" s="9"/>
      <c r="C15" s="55"/>
      <c r="D15" s="55"/>
      <c r="E15" s="55"/>
      <c r="F15" s="55"/>
      <c r="G15" s="55"/>
      <c r="H15" s="55"/>
      <c r="I15" s="55"/>
      <c r="J15" s="55"/>
      <c r="K15" s="55"/>
    </row>
    <row r="16" spans="1:11" x14ac:dyDescent="0.6">
      <c r="A16" s="9"/>
      <c r="B16" s="9" t="s">
        <v>51</v>
      </c>
      <c r="C16" s="55">
        <f>'Ann 8'!E14</f>
        <v>1808400</v>
      </c>
      <c r="D16" s="55">
        <f>1.07*C16</f>
        <v>1934988</v>
      </c>
      <c r="E16" s="55">
        <f t="shared" ref="E16:K16" si="6">1.07*D16</f>
        <v>2070437.1600000001</v>
      </c>
      <c r="F16" s="55">
        <f t="shared" si="6"/>
        <v>2215367.7612000001</v>
      </c>
      <c r="G16" s="55">
        <f t="shared" si="6"/>
        <v>2370443.5044840002</v>
      </c>
      <c r="H16" s="55">
        <f t="shared" si="6"/>
        <v>2536374.5497978805</v>
      </c>
      <c r="I16" s="55">
        <f t="shared" si="6"/>
        <v>2713920.7682837322</v>
      </c>
      <c r="J16" s="55">
        <f t="shared" si="6"/>
        <v>2903895.2220635936</v>
      </c>
      <c r="K16" s="55">
        <f t="shared" si="6"/>
        <v>3107167.8876080452</v>
      </c>
    </row>
    <row r="17" spans="1:11" x14ac:dyDescent="0.6">
      <c r="A17" s="9"/>
      <c r="B17" s="9" t="s">
        <v>331</v>
      </c>
      <c r="C17" s="55">
        <f>(Budgets!C9+Budgets!C7)*3</f>
        <v>11277000</v>
      </c>
      <c r="D17" s="55">
        <f>(Budgets!D9+Budgets!D7)*3</f>
        <v>12082500</v>
      </c>
      <c r="E17" s="55">
        <f>(Budgets!E9+Budgets!E7)*3</f>
        <v>12888000</v>
      </c>
      <c r="F17" s="55">
        <f>(Budgets!F9+Budgets!F7)*3</f>
        <v>13693500</v>
      </c>
      <c r="G17" s="55">
        <f>(Budgets!G9+Budgets!G7)*3</f>
        <v>14499000</v>
      </c>
      <c r="H17" s="55">
        <f>(Budgets!H9+Budgets!H7)*3</f>
        <v>15304500</v>
      </c>
      <c r="I17" s="55">
        <f>(Budgets!I9+Budgets!I7)*3</f>
        <v>16110000</v>
      </c>
      <c r="J17" s="55">
        <f>(Budgets!J9+Budgets!J7)*3</f>
        <v>16110000</v>
      </c>
      <c r="K17" s="55">
        <f>(Budgets!K9+Budgets!K7)*3</f>
        <v>16110000</v>
      </c>
    </row>
    <row r="18" spans="1:11" x14ac:dyDescent="0.6">
      <c r="A18" s="9"/>
      <c r="B18" s="9" t="s">
        <v>324</v>
      </c>
      <c r="C18" s="55">
        <f>1250000+(0.75%*C7)</f>
        <v>4715000</v>
      </c>
      <c r="D18" s="55">
        <f t="shared" ref="D18:K18" si="7">1250000+(0.75%*D7)</f>
        <v>4962500</v>
      </c>
      <c r="E18" s="55">
        <f t="shared" si="7"/>
        <v>5210000</v>
      </c>
      <c r="F18" s="55">
        <f t="shared" si="7"/>
        <v>5457500</v>
      </c>
      <c r="G18" s="55">
        <f t="shared" si="7"/>
        <v>5705000</v>
      </c>
      <c r="H18" s="55">
        <f t="shared" si="7"/>
        <v>5952500</v>
      </c>
      <c r="I18" s="55">
        <f t="shared" si="7"/>
        <v>6200000</v>
      </c>
      <c r="J18" s="55">
        <f t="shared" si="7"/>
        <v>6200000</v>
      </c>
      <c r="K18" s="55">
        <f t="shared" si="7"/>
        <v>6200000</v>
      </c>
    </row>
    <row r="19" spans="1:11" x14ac:dyDescent="0.6">
      <c r="A19" s="9"/>
      <c r="B19" s="9" t="s">
        <v>272</v>
      </c>
      <c r="C19" s="55">
        <v>240000</v>
      </c>
      <c r="D19" s="55">
        <v>240000</v>
      </c>
      <c r="E19" s="55">
        <v>240000</v>
      </c>
      <c r="F19" s="55">
        <v>240000</v>
      </c>
      <c r="G19" s="55">
        <v>240000</v>
      </c>
      <c r="H19" s="55">
        <v>240000</v>
      </c>
      <c r="I19" s="55">
        <v>240000</v>
      </c>
      <c r="J19" s="55">
        <v>240000</v>
      </c>
      <c r="K19" s="55">
        <v>240000</v>
      </c>
    </row>
    <row r="20" spans="1:11" x14ac:dyDescent="0.6">
      <c r="A20" s="9"/>
      <c r="B20" s="9" t="s">
        <v>8</v>
      </c>
      <c r="C20" s="55">
        <f t="shared" ref="C20:K20" si="8">SUM(C16:C19)</f>
        <v>18040400</v>
      </c>
      <c r="D20" s="55">
        <f t="shared" si="8"/>
        <v>19219988</v>
      </c>
      <c r="E20" s="55">
        <f t="shared" si="8"/>
        <v>20408437.16</v>
      </c>
      <c r="F20" s="55">
        <f t="shared" si="8"/>
        <v>21606367.7612</v>
      </c>
      <c r="G20" s="55">
        <f t="shared" si="8"/>
        <v>22814443.504484002</v>
      </c>
      <c r="H20" s="55">
        <f t="shared" si="8"/>
        <v>24033374.549797881</v>
      </c>
      <c r="I20" s="55">
        <f t="shared" si="8"/>
        <v>25263920.768283732</v>
      </c>
      <c r="J20" s="55">
        <f t="shared" si="8"/>
        <v>25453895.222063594</v>
      </c>
      <c r="K20" s="55">
        <f t="shared" si="8"/>
        <v>25657167.887608044</v>
      </c>
    </row>
    <row r="21" spans="1:11" x14ac:dyDescent="0.6">
      <c r="A21" s="9"/>
      <c r="B21" s="9"/>
      <c r="C21" s="55"/>
      <c r="D21" s="55"/>
      <c r="E21" s="55"/>
      <c r="F21" s="55"/>
      <c r="G21" s="55"/>
      <c r="H21" s="55"/>
      <c r="I21" s="55"/>
      <c r="J21" s="55"/>
      <c r="K21" s="55"/>
    </row>
    <row r="22" spans="1:11" x14ac:dyDescent="0.6">
      <c r="A22" s="9"/>
      <c r="B22" s="9" t="s">
        <v>86</v>
      </c>
      <c r="C22" s="55">
        <f t="shared" ref="C22:K22" si="9">C20+C14</f>
        <v>535265240</v>
      </c>
      <c r="D22" s="55">
        <f t="shared" si="9"/>
        <v>573305188</v>
      </c>
      <c r="E22" s="55">
        <f t="shared" si="9"/>
        <v>611359662.15999997</v>
      </c>
      <c r="F22" s="55">
        <f t="shared" si="9"/>
        <v>649429566.01119995</v>
      </c>
      <c r="G22" s="55">
        <f t="shared" si="9"/>
        <v>687515860.66698408</v>
      </c>
      <c r="H22" s="55">
        <f t="shared" si="9"/>
        <v>739981288.57042289</v>
      </c>
      <c r="I22" s="55">
        <f t="shared" si="9"/>
        <v>778859377.48993993</v>
      </c>
      <c r="J22" s="55">
        <f t="shared" si="9"/>
        <v>779060474.73753691</v>
      </c>
      <c r="K22" s="55">
        <f t="shared" si="9"/>
        <v>779275426.33658946</v>
      </c>
    </row>
    <row r="23" spans="1:11" x14ac:dyDescent="0.6">
      <c r="A23" s="9"/>
      <c r="B23" s="9" t="s">
        <v>87</v>
      </c>
      <c r="C23" s="55">
        <f>Budgets!C14</f>
        <v>538545000</v>
      </c>
      <c r="D23" s="55">
        <f>Budgets!D14</f>
        <v>577012500</v>
      </c>
      <c r="E23" s="55">
        <f>Budgets!E14</f>
        <v>615480000</v>
      </c>
      <c r="F23" s="55">
        <f>Budgets!F14</f>
        <v>653947500</v>
      </c>
      <c r="G23" s="55">
        <f>Budgets!G14</f>
        <v>692415000</v>
      </c>
      <c r="H23" s="55">
        <f>Budgets!H14</f>
        <v>745111124.99999988</v>
      </c>
      <c r="I23" s="55">
        <f>Budgets!I14</f>
        <v>784327500</v>
      </c>
      <c r="J23" s="55">
        <f>Budgets!J14</f>
        <v>784327500</v>
      </c>
      <c r="K23" s="55">
        <f>Budgets!K14</f>
        <v>784327500</v>
      </c>
    </row>
    <row r="24" spans="1:11" x14ac:dyDescent="0.6">
      <c r="A24" s="9"/>
      <c r="B24" s="9" t="s">
        <v>88</v>
      </c>
      <c r="C24" s="55">
        <f t="shared" ref="C24:K24" si="10">C23-C22</f>
        <v>3279760</v>
      </c>
      <c r="D24" s="55">
        <f t="shared" si="10"/>
        <v>3707312</v>
      </c>
      <c r="E24" s="55">
        <f t="shared" si="10"/>
        <v>4120337.8400000334</v>
      </c>
      <c r="F24" s="55">
        <f t="shared" si="10"/>
        <v>4517933.9888000488</v>
      </c>
      <c r="G24" s="55">
        <f t="shared" si="10"/>
        <v>4899139.3330159187</v>
      </c>
      <c r="H24" s="55">
        <f t="shared" si="10"/>
        <v>5129836.429576993</v>
      </c>
      <c r="I24" s="55">
        <f t="shared" si="10"/>
        <v>5468122.5100600719</v>
      </c>
      <c r="J24" s="55">
        <f t="shared" si="10"/>
        <v>5267025.2624630928</v>
      </c>
      <c r="K24" s="55">
        <f t="shared" si="10"/>
        <v>5052073.6634105444</v>
      </c>
    </row>
    <row r="25" spans="1:11" x14ac:dyDescent="0.6">
      <c r="A25" s="9"/>
      <c r="B25" s="9"/>
      <c r="C25" s="55"/>
      <c r="D25" s="55"/>
      <c r="E25" s="55"/>
      <c r="F25" s="55"/>
      <c r="G25" s="55"/>
      <c r="H25" s="55"/>
      <c r="I25" s="55"/>
      <c r="J25" s="55"/>
      <c r="K25" s="55"/>
    </row>
    <row r="26" spans="1:11" x14ac:dyDescent="0.6">
      <c r="A26" s="9"/>
      <c r="B26" s="9" t="s">
        <v>89</v>
      </c>
      <c r="C26" s="55"/>
      <c r="D26" s="55"/>
      <c r="E26" s="55"/>
      <c r="F26" s="55"/>
      <c r="G26" s="55"/>
      <c r="H26" s="55"/>
      <c r="I26" s="55"/>
      <c r="J26" s="55"/>
      <c r="K26" s="55"/>
    </row>
    <row r="27" spans="1:11" x14ac:dyDescent="0.6">
      <c r="A27" s="9"/>
      <c r="B27" s="9" t="s">
        <v>90</v>
      </c>
      <c r="C27" s="55">
        <f>SUM('Ann 13'!E9:E12)*100000</f>
        <v>552634.61538461538</v>
      </c>
      <c r="D27" s="55">
        <f>SUM('Ann 13'!E13:E16)*100000</f>
        <v>482884.61538461532</v>
      </c>
      <c r="E27" s="55">
        <f>SUM('Ann 13'!E17:E20)*100000</f>
        <v>397038.46153846139</v>
      </c>
      <c r="F27" s="55">
        <f>SUM('Ann 13'!E21:E24)*100000</f>
        <v>311192.30769230745</v>
      </c>
      <c r="G27" s="55">
        <f>SUM('Ann 13'!E25:E28)*100000</f>
        <v>225346.15384615355</v>
      </c>
      <c r="H27" s="55">
        <f>SUM('Ann 13'!E29:E32)*100000</f>
        <v>139499.99999999965</v>
      </c>
      <c r="I27" s="55">
        <f>SUM('Ann 13'!E33:E36)*100000</f>
        <v>53653.846153845829</v>
      </c>
      <c r="J27" s="55">
        <v>0</v>
      </c>
      <c r="K27" s="55">
        <v>0</v>
      </c>
    </row>
    <row r="28" spans="1:11" x14ac:dyDescent="0.6">
      <c r="A28" s="9"/>
      <c r="B28" s="9" t="s">
        <v>163</v>
      </c>
      <c r="C28" s="55">
        <f>'Ann 1'!$C$25*100000*10%</f>
        <v>150000</v>
      </c>
      <c r="D28" s="55">
        <f>'Ann 1'!$C$25*100000*10%</f>
        <v>150000</v>
      </c>
      <c r="E28" s="55">
        <f>'Ann 1'!$C$25*100000*10%</f>
        <v>150000</v>
      </c>
      <c r="F28" s="55">
        <f>'Ann 1'!$C$25*100000*10%</f>
        <v>150000</v>
      </c>
      <c r="G28" s="55">
        <f>'Ann 1'!$C$25*100000*10%</f>
        <v>150000</v>
      </c>
      <c r="H28" s="55">
        <f>'Ann 1'!$C$25*100000*10%</f>
        <v>150000</v>
      </c>
      <c r="I28" s="55">
        <f>'Ann 1'!$C$25*100000*10%</f>
        <v>150000</v>
      </c>
      <c r="J28" s="55">
        <f>'Ann 1'!$C$25*100000*10%</f>
        <v>150000</v>
      </c>
      <c r="K28" s="55">
        <f>'Ann 1'!$C$25*100000*10%</f>
        <v>150000</v>
      </c>
    </row>
    <row r="29" spans="1:11" x14ac:dyDescent="0.6">
      <c r="A29" s="9"/>
      <c r="B29" s="56" t="s">
        <v>266</v>
      </c>
      <c r="C29" s="55">
        <f>SUM(C27:C28)</f>
        <v>702634.61538461538</v>
      </c>
      <c r="D29" s="55">
        <f t="shared" ref="D29:K29" si="11">SUM(D27:D28)</f>
        <v>632884.61538461526</v>
      </c>
      <c r="E29" s="55">
        <f t="shared" si="11"/>
        <v>547038.46153846139</v>
      </c>
      <c r="F29" s="55">
        <f t="shared" si="11"/>
        <v>461192.30769230745</v>
      </c>
      <c r="G29" s="55">
        <f t="shared" si="11"/>
        <v>375346.15384615352</v>
      </c>
      <c r="H29" s="55">
        <f t="shared" si="11"/>
        <v>289499.99999999965</v>
      </c>
      <c r="I29" s="55">
        <f t="shared" si="11"/>
        <v>203653.84615384584</v>
      </c>
      <c r="J29" s="55">
        <f t="shared" si="11"/>
        <v>150000</v>
      </c>
      <c r="K29" s="55">
        <f t="shared" si="11"/>
        <v>150000</v>
      </c>
    </row>
    <row r="30" spans="1:11" x14ac:dyDescent="0.6">
      <c r="A30" s="9"/>
      <c r="B30" s="9"/>
      <c r="C30" s="55"/>
      <c r="D30" s="55"/>
      <c r="E30" s="55"/>
      <c r="F30" s="55"/>
      <c r="G30" s="55"/>
      <c r="H30" s="55"/>
      <c r="I30" s="55"/>
      <c r="J30" s="55"/>
      <c r="K30" s="55"/>
    </row>
    <row r="31" spans="1:11" x14ac:dyDescent="0.6">
      <c r="A31" s="9"/>
      <c r="B31" s="9" t="s">
        <v>100</v>
      </c>
      <c r="C31" s="55">
        <f t="shared" ref="C31:K31" si="12">C24-C29</f>
        <v>2577125.3846153845</v>
      </c>
      <c r="D31" s="55">
        <f t="shared" si="12"/>
        <v>3074427.384615385</v>
      </c>
      <c r="E31" s="55">
        <f t="shared" si="12"/>
        <v>3573299.3784615719</v>
      </c>
      <c r="F31" s="55">
        <f t="shared" si="12"/>
        <v>4056741.6811077413</v>
      </c>
      <c r="G31" s="55">
        <f t="shared" si="12"/>
        <v>4523793.1791697647</v>
      </c>
      <c r="H31" s="55">
        <f t="shared" si="12"/>
        <v>4840336.429576993</v>
      </c>
      <c r="I31" s="55">
        <f t="shared" si="12"/>
        <v>5264468.6639062259</v>
      </c>
      <c r="J31" s="55">
        <f t="shared" si="12"/>
        <v>5117025.2624630928</v>
      </c>
      <c r="K31" s="55">
        <f t="shared" si="12"/>
        <v>4902073.6634105444</v>
      </c>
    </row>
    <row r="32" spans="1:11" x14ac:dyDescent="0.6">
      <c r="A32" s="9"/>
      <c r="B32" s="9" t="s">
        <v>173</v>
      </c>
      <c r="C32" s="55">
        <f>'Ann 1'!C34*100000</f>
        <v>200000</v>
      </c>
      <c r="D32" s="55">
        <v>0</v>
      </c>
      <c r="E32" s="55">
        <v>0</v>
      </c>
      <c r="F32" s="55">
        <v>0</v>
      </c>
      <c r="G32" s="55">
        <v>0</v>
      </c>
      <c r="H32" s="55">
        <v>0</v>
      </c>
      <c r="I32" s="55">
        <v>0</v>
      </c>
      <c r="J32" s="55">
        <v>0</v>
      </c>
      <c r="K32" s="55">
        <v>0</v>
      </c>
    </row>
    <row r="33" spans="1:11" x14ac:dyDescent="0.6">
      <c r="A33" s="9"/>
      <c r="B33" s="56" t="s">
        <v>101</v>
      </c>
      <c r="C33" s="55">
        <f>'Ann 9'!C12+'Ann 9'!D12+'Ann 9'!E12</f>
        <v>1445000</v>
      </c>
      <c r="D33" s="55">
        <f>'Ann 9'!C13+'Ann 9'!D13+'Ann 9'!E13</f>
        <v>1238250</v>
      </c>
      <c r="E33" s="55">
        <f>'Ann 9'!C14+'Ann 9'!D14+'Ann 9'!E14</f>
        <v>1061512.5</v>
      </c>
      <c r="F33" s="55">
        <f>'Ann 9'!C15+'Ann 9'!D15+'Ann 9'!E15</f>
        <v>910385.625</v>
      </c>
      <c r="G33" s="55">
        <f>'Ann 9'!C16+'Ann 9'!D16+'Ann 9'!E16</f>
        <v>781117.78125</v>
      </c>
      <c r="H33" s="55">
        <f>'Ann 9'!C17+'Ann 9'!D17+'Ann 9'!E17</f>
        <v>670511.11406249995</v>
      </c>
      <c r="I33" s="55">
        <f>'Ann 9'!C18+'Ann 9'!D18+'Ann 9'!E18</f>
        <v>575839.34695312497</v>
      </c>
      <c r="J33" s="55">
        <f>'Ann 9'!C19+'Ann 9'!D19+'Ann 9'!E19</f>
        <v>494777.85491015622</v>
      </c>
      <c r="K33" s="55">
        <f>'Ann 9'!C20+'Ann 9'!D20+'Ann 9'!E20</f>
        <v>425344.14567363274</v>
      </c>
    </row>
    <row r="34" spans="1:11" x14ac:dyDescent="0.6">
      <c r="A34" s="9"/>
      <c r="B34" s="56" t="s">
        <v>102</v>
      </c>
      <c r="C34" s="55">
        <f>C31-C32-C33</f>
        <v>932125.38461538451</v>
      </c>
      <c r="D34" s="55">
        <f t="shared" ref="D34:K34" si="13">D31-D32-D33</f>
        <v>1836177.384615385</v>
      </c>
      <c r="E34" s="55">
        <f t="shared" si="13"/>
        <v>2511786.8784615719</v>
      </c>
      <c r="F34" s="55">
        <f t="shared" si="13"/>
        <v>3146356.0561077413</v>
      </c>
      <c r="G34" s="55">
        <f t="shared" si="13"/>
        <v>3742675.3979197647</v>
      </c>
      <c r="H34" s="55">
        <f t="shared" si="13"/>
        <v>4169825.3155144928</v>
      </c>
      <c r="I34" s="55">
        <f t="shared" si="13"/>
        <v>4688629.3169531012</v>
      </c>
      <c r="J34" s="55">
        <f t="shared" si="13"/>
        <v>4622247.407552937</v>
      </c>
      <c r="K34" s="55">
        <f t="shared" si="13"/>
        <v>4476729.5177369118</v>
      </c>
    </row>
    <row r="35" spans="1:11" x14ac:dyDescent="0.6">
      <c r="A35" s="9"/>
      <c r="B35" s="56" t="s">
        <v>290</v>
      </c>
      <c r="C35" s="55">
        <f>'Ann 10'!B14</f>
        <v>339637.61538461532</v>
      </c>
      <c r="D35" s="55">
        <f>'Ann 10'!C14</f>
        <v>550853.21538461547</v>
      </c>
      <c r="E35" s="55">
        <f>'Ann 10'!D14</f>
        <v>753536.06353847159</v>
      </c>
      <c r="F35" s="55">
        <f>'Ann 10'!E14</f>
        <v>943906.81683232239</v>
      </c>
      <c r="G35" s="55">
        <f>'Ann 10'!F14</f>
        <v>1122802.6193759295</v>
      </c>
      <c r="H35" s="55">
        <f>'Ann 10'!G14</f>
        <v>1250947.5946543477</v>
      </c>
      <c r="I35" s="55">
        <f>'Ann 10'!H14</f>
        <v>1406588.7950859303</v>
      </c>
      <c r="J35" s="55">
        <f>'Ann 10'!I14</f>
        <v>1386674.222265881</v>
      </c>
      <c r="K35" s="55">
        <f>'Ann 10'!J14</f>
        <v>1343018.8553210734</v>
      </c>
    </row>
    <row r="36" spans="1:11" x14ac:dyDescent="0.6">
      <c r="A36" s="9"/>
      <c r="B36" s="56" t="s">
        <v>103</v>
      </c>
      <c r="C36" s="55">
        <f>C34-C35</f>
        <v>592487.76923076925</v>
      </c>
      <c r="D36" s="55">
        <f>D34-D35</f>
        <v>1285324.1692307694</v>
      </c>
      <c r="E36" s="55">
        <f t="shared" ref="E36:K36" si="14">E34-E35</f>
        <v>1758250.8149231002</v>
      </c>
      <c r="F36" s="55">
        <f t="shared" si="14"/>
        <v>2202449.2392754192</v>
      </c>
      <c r="G36" s="55">
        <f t="shared" si="14"/>
        <v>2619872.7785438355</v>
      </c>
      <c r="H36" s="55">
        <f t="shared" si="14"/>
        <v>2918877.7208601451</v>
      </c>
      <c r="I36" s="55">
        <f t="shared" si="14"/>
        <v>3282040.5218671709</v>
      </c>
      <c r="J36" s="55">
        <f t="shared" si="14"/>
        <v>3235573.185287056</v>
      </c>
      <c r="K36" s="55">
        <f t="shared" si="14"/>
        <v>3133710.6624158383</v>
      </c>
    </row>
    <row r="37" spans="1:11" x14ac:dyDescent="0.6">
      <c r="A37" s="9"/>
      <c r="B37" s="56" t="s">
        <v>296</v>
      </c>
      <c r="C37" s="55">
        <f>C36*80%</f>
        <v>473990.21538461541</v>
      </c>
      <c r="D37" s="55">
        <f t="shared" ref="D37:K37" si="15">D36*80%</f>
        <v>1028259.3353846156</v>
      </c>
      <c r="E37" s="55">
        <f t="shared" si="15"/>
        <v>1406600.6519384803</v>
      </c>
      <c r="F37" s="55">
        <f t="shared" si="15"/>
        <v>1761959.3914203355</v>
      </c>
      <c r="G37" s="55">
        <f t="shared" si="15"/>
        <v>2095898.2228350686</v>
      </c>
      <c r="H37" s="55">
        <f t="shared" si="15"/>
        <v>2335102.176688116</v>
      </c>
      <c r="I37" s="55">
        <f t="shared" si="15"/>
        <v>2625632.4174937368</v>
      </c>
      <c r="J37" s="55">
        <f t="shared" si="15"/>
        <v>2588458.548229645</v>
      </c>
      <c r="K37" s="55">
        <f t="shared" si="15"/>
        <v>2506968.5299326708</v>
      </c>
    </row>
    <row r="38" spans="1:11" x14ac:dyDescent="0.6">
      <c r="A38" s="9"/>
      <c r="B38" s="56" t="s">
        <v>113</v>
      </c>
      <c r="C38" s="55">
        <f>C36-C37</f>
        <v>118497.55384615384</v>
      </c>
      <c r="D38" s="55">
        <f t="shared" ref="D38:K38" si="16">D36-D37</f>
        <v>257064.83384615381</v>
      </c>
      <c r="E38" s="55">
        <f t="shared" si="16"/>
        <v>351650.16298461985</v>
      </c>
      <c r="F38" s="55">
        <f t="shared" si="16"/>
        <v>440489.84785508364</v>
      </c>
      <c r="G38" s="55">
        <f t="shared" si="16"/>
        <v>523974.55570876691</v>
      </c>
      <c r="H38" s="55">
        <f t="shared" si="16"/>
        <v>583775.54417202901</v>
      </c>
      <c r="I38" s="55">
        <f t="shared" si="16"/>
        <v>656408.10437343409</v>
      </c>
      <c r="J38" s="55">
        <f t="shared" si="16"/>
        <v>647114.63705741102</v>
      </c>
      <c r="K38" s="55">
        <f t="shared" si="16"/>
        <v>626742.13248316757</v>
      </c>
    </row>
    <row r="40" spans="1:11" x14ac:dyDescent="0.6">
      <c r="A40" s="8" t="s">
        <v>336</v>
      </c>
    </row>
    <row r="41" spans="1:11" x14ac:dyDescent="0.6">
      <c r="A41" s="8" t="s">
        <v>273</v>
      </c>
    </row>
    <row r="42" spans="1:11" x14ac:dyDescent="0.6">
      <c r="B42" s="8" t="s">
        <v>169</v>
      </c>
      <c r="C42" s="8">
        <v>150000</v>
      </c>
      <c r="D42" s="8">
        <f>C42*1.05</f>
        <v>157500</v>
      </c>
      <c r="E42" s="8">
        <f t="shared" ref="E42:I42" si="17">D42*1.05</f>
        <v>165375</v>
      </c>
      <c r="F42" s="8">
        <f t="shared" si="17"/>
        <v>173643.75</v>
      </c>
      <c r="G42" s="8">
        <f t="shared" si="17"/>
        <v>182325.9375</v>
      </c>
      <c r="H42" s="8">
        <f t="shared" si="17"/>
        <v>191442.234375</v>
      </c>
      <c r="I42" s="8">
        <f t="shared" si="17"/>
        <v>201014.34609375001</v>
      </c>
      <c r="J42" s="8">
        <f>I42</f>
        <v>201014.34609375001</v>
      </c>
      <c r="K42" s="8">
        <f>J42</f>
        <v>201014.34609375001</v>
      </c>
    </row>
    <row r="43" spans="1:11" x14ac:dyDescent="0.6">
      <c r="B43" s="8" t="s">
        <v>72</v>
      </c>
      <c r="C43" s="8">
        <f>C42*14</f>
        <v>2100000</v>
      </c>
      <c r="D43" s="8">
        <f t="shared" ref="D43:K43" si="18">D42*14</f>
        <v>2205000</v>
      </c>
      <c r="E43" s="8">
        <f t="shared" si="18"/>
        <v>2315250</v>
      </c>
      <c r="F43" s="8">
        <f t="shared" si="18"/>
        <v>2431012.5</v>
      </c>
      <c r="G43" s="8">
        <f t="shared" si="18"/>
        <v>2552563.125</v>
      </c>
      <c r="H43" s="8">
        <f t="shared" si="18"/>
        <v>2680191.28125</v>
      </c>
      <c r="I43" s="8">
        <f t="shared" si="18"/>
        <v>2814200.8453124999</v>
      </c>
      <c r="J43" s="8">
        <f t="shared" si="18"/>
        <v>2814200.8453124999</v>
      </c>
      <c r="K43" s="8">
        <f t="shared" si="18"/>
        <v>2814200.8453124999</v>
      </c>
    </row>
    <row r="44" spans="1:11" x14ac:dyDescent="0.6">
      <c r="A44" s="8" t="s">
        <v>274</v>
      </c>
    </row>
  </sheetData>
  <mergeCells count="3">
    <mergeCell ref="C3:K3"/>
    <mergeCell ref="B3:B4"/>
    <mergeCell ref="A3:A4"/>
  </mergeCells>
  <pageMargins left="0.7" right="0.7" top="0.75" bottom="0.75" header="0.3" footer="0.3"/>
  <pageSetup scale="59" fitToHeight="0" orientation="landscape" r:id="rId1"/>
  <ignoredErrors>
    <ignoredError sqref="D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31" workbookViewId="0"/>
  </sheetViews>
  <sheetFormatPr defaultRowHeight="17" x14ac:dyDescent="0.6"/>
  <cols>
    <col min="1" max="1" width="8.7265625" style="8"/>
    <col min="2" max="2" width="28.26953125" style="8" customWidth="1"/>
    <col min="3" max="3" width="15.6328125" style="8" bestFit="1" customWidth="1"/>
    <col min="4" max="10" width="13.7265625" style="8" bestFit="1" customWidth="1"/>
    <col min="11" max="11" width="13.6328125" style="8" bestFit="1" customWidth="1"/>
    <col min="12" max="12" width="10" style="8" bestFit="1" customWidth="1"/>
    <col min="13" max="16384" width="8.7265625" style="8"/>
  </cols>
  <sheetData>
    <row r="1" spans="1:11" x14ac:dyDescent="0.6">
      <c r="A1" s="7" t="s">
        <v>114</v>
      </c>
    </row>
    <row r="3" spans="1:11" x14ac:dyDescent="0.6">
      <c r="A3" s="8" t="s">
        <v>115</v>
      </c>
    </row>
    <row r="5" spans="1:11" x14ac:dyDescent="0.6">
      <c r="A5" s="137" t="s">
        <v>37</v>
      </c>
      <c r="B5" s="137" t="s">
        <v>38</v>
      </c>
      <c r="C5" s="137" t="s">
        <v>48</v>
      </c>
      <c r="D5" s="137"/>
      <c r="E5" s="137"/>
      <c r="F5" s="137"/>
      <c r="G5" s="137"/>
      <c r="H5" s="137"/>
      <c r="I5" s="137"/>
      <c r="J5" s="137"/>
      <c r="K5" s="137"/>
    </row>
    <row r="6" spans="1:11" x14ac:dyDescent="0.6">
      <c r="A6" s="137"/>
      <c r="B6" s="137"/>
      <c r="C6" s="72" t="s">
        <v>39</v>
      </c>
      <c r="D6" s="72" t="s">
        <v>40</v>
      </c>
      <c r="E6" s="72" t="s">
        <v>41</v>
      </c>
      <c r="F6" s="72" t="s">
        <v>42</v>
      </c>
      <c r="G6" s="72" t="s">
        <v>43</v>
      </c>
      <c r="H6" s="72" t="s">
        <v>44</v>
      </c>
      <c r="I6" s="72" t="s">
        <v>45</v>
      </c>
      <c r="J6" s="72" t="s">
        <v>46</v>
      </c>
      <c r="K6" s="72" t="s">
        <v>47</v>
      </c>
    </row>
    <row r="7" spans="1:11" x14ac:dyDescent="0.6">
      <c r="A7" s="37" t="s">
        <v>148</v>
      </c>
      <c r="B7" s="59" t="s">
        <v>116</v>
      </c>
      <c r="C7" s="60"/>
      <c r="D7" s="60"/>
      <c r="E7" s="61"/>
      <c r="F7" s="61"/>
      <c r="G7" s="61"/>
      <c r="H7" s="61"/>
      <c r="I7" s="61"/>
      <c r="J7" s="61"/>
      <c r="K7" s="61"/>
    </row>
    <row r="8" spans="1:11" x14ac:dyDescent="0.6">
      <c r="A8" s="31">
        <v>1</v>
      </c>
      <c r="B8" s="32" t="s">
        <v>117</v>
      </c>
      <c r="C8" s="14"/>
      <c r="D8" s="14"/>
      <c r="E8" s="15"/>
      <c r="F8" s="15"/>
      <c r="G8" s="15"/>
      <c r="H8" s="15"/>
      <c r="I8" s="15"/>
      <c r="J8" s="15"/>
      <c r="K8" s="15"/>
    </row>
    <row r="9" spans="1:11" x14ac:dyDescent="0.6">
      <c r="A9" s="31"/>
      <c r="B9" s="32" t="s">
        <v>118</v>
      </c>
      <c r="C9" s="62">
        <f>('Ann 9'!F9*100000)+('Ann 1'!C8*100000)</f>
        <v>10300000</v>
      </c>
      <c r="D9" s="63">
        <f>C11</f>
        <v>8855000</v>
      </c>
      <c r="E9" s="18">
        <f t="shared" ref="E9:K9" si="0">D11</f>
        <v>7616750</v>
      </c>
      <c r="F9" s="18">
        <f t="shared" si="0"/>
        <v>6555237.5</v>
      </c>
      <c r="G9" s="18">
        <f t="shared" si="0"/>
        <v>5644851.875</v>
      </c>
      <c r="H9" s="18">
        <f t="shared" si="0"/>
        <v>4863734.09375</v>
      </c>
      <c r="I9" s="18">
        <f t="shared" si="0"/>
        <v>4193222.9796874998</v>
      </c>
      <c r="J9" s="18">
        <f t="shared" si="0"/>
        <v>3617383.6327343751</v>
      </c>
      <c r="K9" s="18">
        <f t="shared" si="0"/>
        <v>3122605.7778242189</v>
      </c>
    </row>
    <row r="10" spans="1:11" x14ac:dyDescent="0.6">
      <c r="A10" s="31"/>
      <c r="B10" s="32" t="s">
        <v>119</v>
      </c>
      <c r="C10" s="62">
        <f>'Ann 9'!C12+'Ann 9'!D12+'Ann 9'!E12</f>
        <v>1445000</v>
      </c>
      <c r="D10" s="63">
        <f>'Ann 9'!C13+'Ann 9'!D13+'Ann 9'!E13</f>
        <v>1238250</v>
      </c>
      <c r="E10" s="18">
        <f>'Ann 9'!C14+'Ann 9'!D14+'Ann 9'!E14</f>
        <v>1061512.5</v>
      </c>
      <c r="F10" s="18">
        <f>'Ann 9'!C15+'Ann 9'!D15+'Ann 9'!E15</f>
        <v>910385.625</v>
      </c>
      <c r="G10" s="18">
        <f>'Ann 9'!C16+'Ann 9'!D16+'Ann 9'!E16</f>
        <v>781117.78125</v>
      </c>
      <c r="H10" s="18">
        <f>'Ann 9'!C17+'Ann 9'!D17+'Ann 9'!E17</f>
        <v>670511.11406249995</v>
      </c>
      <c r="I10" s="18">
        <f>+'Ann 9'!C18+'Ann 9'!D18+'Ann 9'!E18</f>
        <v>575839.34695312497</v>
      </c>
      <c r="J10" s="18">
        <f>'Ann 9'!C19+'Ann 9'!D19+'Ann 9'!E19</f>
        <v>494777.85491015622</v>
      </c>
      <c r="K10" s="18">
        <f>+'Ann 9'!C20+'Ann 9'!D20+'Ann 9'!E20</f>
        <v>425344.14567363274</v>
      </c>
    </row>
    <row r="11" spans="1:11" x14ac:dyDescent="0.6">
      <c r="A11" s="31"/>
      <c r="B11" s="32" t="s">
        <v>120</v>
      </c>
      <c r="C11" s="62">
        <f>C9-C10</f>
        <v>8855000</v>
      </c>
      <c r="D11" s="63">
        <f>D9-D10</f>
        <v>7616750</v>
      </c>
      <c r="E11" s="18">
        <f t="shared" ref="E11:K11" si="1">E9-E10</f>
        <v>6555237.5</v>
      </c>
      <c r="F11" s="18">
        <f t="shared" si="1"/>
        <v>5644851.875</v>
      </c>
      <c r="G11" s="18">
        <f t="shared" si="1"/>
        <v>4863734.09375</v>
      </c>
      <c r="H11" s="18">
        <f t="shared" si="1"/>
        <v>4193222.9796874998</v>
      </c>
      <c r="I11" s="18">
        <f t="shared" si="1"/>
        <v>3617383.6327343751</v>
      </c>
      <c r="J11" s="18">
        <f t="shared" si="1"/>
        <v>3122605.7778242189</v>
      </c>
      <c r="K11" s="18">
        <f t="shared" si="1"/>
        <v>2697261.6321505862</v>
      </c>
    </row>
    <row r="12" spans="1:11" x14ac:dyDescent="0.6">
      <c r="A12" s="31">
        <v>2</v>
      </c>
      <c r="B12" s="32" t="s">
        <v>121</v>
      </c>
      <c r="C12" s="62">
        <f>'Ann 4'!C23*30/360</f>
        <v>44878750</v>
      </c>
      <c r="D12" s="62">
        <f>'Ann 4'!D23*30/360</f>
        <v>48084375</v>
      </c>
      <c r="E12" s="62">
        <f>'Ann 4'!E23*30/360</f>
        <v>51290000</v>
      </c>
      <c r="F12" s="62">
        <f>'Ann 4'!F23*30/360</f>
        <v>54495625</v>
      </c>
      <c r="G12" s="62">
        <f>'Ann 4'!G23*30/360</f>
        <v>57701250</v>
      </c>
      <c r="H12" s="62">
        <f>'Ann 4'!H23*30/360</f>
        <v>62092593.749999993</v>
      </c>
      <c r="I12" s="62">
        <f>'Ann 4'!I23*30/360</f>
        <v>65360625</v>
      </c>
      <c r="J12" s="62">
        <f>'Ann 4'!J23*30/360</f>
        <v>65360625</v>
      </c>
      <c r="K12" s="62">
        <f>'Ann 4'!K23*30/360</f>
        <v>65360625</v>
      </c>
    </row>
    <row r="13" spans="1:11" x14ac:dyDescent="0.6">
      <c r="A13" s="31">
        <v>3</v>
      </c>
      <c r="B13" s="64" t="s">
        <v>264</v>
      </c>
      <c r="C13" s="62">
        <f>'Ann 4'!C13</f>
        <v>5291160</v>
      </c>
      <c r="D13" s="62">
        <f>'Ann 4'!D13</f>
        <v>10960260</v>
      </c>
      <c r="E13" s="62">
        <f>'Ann 4'!E13</f>
        <v>17007300</v>
      </c>
      <c r="F13" s="62">
        <f>'Ann 4'!F13</f>
        <v>23432280</v>
      </c>
      <c r="G13" s="62">
        <f>'Ann 4'!G13</f>
        <v>30235200</v>
      </c>
      <c r="H13" s="62">
        <f>'Ann 4'!H13</f>
        <v>23054340</v>
      </c>
      <c r="I13" s="62">
        <f>'Ann 4'!I13</f>
        <v>15495540</v>
      </c>
      <c r="J13" s="62">
        <f>'Ann 4'!J13</f>
        <v>7936740</v>
      </c>
      <c r="K13" s="62">
        <f>'Ann 4'!K13</f>
        <v>377940</v>
      </c>
    </row>
    <row r="14" spans="1:11" x14ac:dyDescent="0.6">
      <c r="A14" s="31">
        <v>4</v>
      </c>
      <c r="B14" s="32" t="s">
        <v>122</v>
      </c>
      <c r="C14" s="65">
        <f>'Ann 14'!C21</f>
        <v>39003202.938461535</v>
      </c>
      <c r="D14" s="65">
        <f>'Ann 14'!D21</f>
        <v>36380523.541538462</v>
      </c>
      <c r="E14" s="65">
        <f>'Ann 14'!E21</f>
        <v>33297751.973753862</v>
      </c>
      <c r="F14" s="65">
        <f>'Ann 14'!F21</f>
        <v>29774753.215839665</v>
      </c>
      <c r="G14" s="65">
        <f>'Ann 14'!G21</f>
        <v>25828031.322029162</v>
      </c>
      <c r="H14" s="65">
        <f>'Ann 14'!H21</f>
        <v>34628564.999494404</v>
      </c>
      <c r="I14" s="65">
        <f>'Ann 14'!I21</f>
        <v>44908311.970051765</v>
      </c>
      <c r="J14" s="65">
        <f>'Ann 14'!J21</f>
        <v>53609004.462019332</v>
      </c>
      <c r="K14" s="65">
        <f>'Ann 14'!K21</f>
        <v>62219890.740176126</v>
      </c>
    </row>
    <row r="15" spans="1:11" x14ac:dyDescent="0.6">
      <c r="A15" s="31"/>
      <c r="B15" s="32" t="s">
        <v>130</v>
      </c>
      <c r="C15" s="62">
        <f t="shared" ref="C15:K15" si="2">SUM(C11:C14)</f>
        <v>98028112.938461542</v>
      </c>
      <c r="D15" s="62">
        <f t="shared" si="2"/>
        <v>103041908.54153846</v>
      </c>
      <c r="E15" s="66">
        <f t="shared" si="2"/>
        <v>108150289.47375387</v>
      </c>
      <c r="F15" s="66">
        <f t="shared" si="2"/>
        <v>113347510.09083967</v>
      </c>
      <c r="G15" s="66">
        <f t="shared" si="2"/>
        <v>118628215.41577916</v>
      </c>
      <c r="H15" s="66">
        <f t="shared" si="2"/>
        <v>123968721.72918189</v>
      </c>
      <c r="I15" s="66">
        <f t="shared" si="2"/>
        <v>129381860.60278614</v>
      </c>
      <c r="J15" s="66">
        <f t="shared" si="2"/>
        <v>130028975.23984355</v>
      </c>
      <c r="K15" s="66">
        <f t="shared" si="2"/>
        <v>130655717.37232672</v>
      </c>
    </row>
    <row r="16" spans="1:11" x14ac:dyDescent="0.6">
      <c r="A16" s="31"/>
      <c r="B16" s="32"/>
      <c r="C16" s="62"/>
      <c r="D16" s="62"/>
      <c r="E16" s="66"/>
      <c r="F16" s="66"/>
      <c r="G16" s="66"/>
      <c r="H16" s="66"/>
      <c r="I16" s="66"/>
      <c r="J16" s="66"/>
      <c r="K16" s="66"/>
    </row>
    <row r="17" spans="1:13" x14ac:dyDescent="0.6">
      <c r="A17" s="31" t="s">
        <v>149</v>
      </c>
      <c r="B17" s="67" t="s">
        <v>123</v>
      </c>
      <c r="C17" s="14"/>
      <c r="D17" s="14"/>
      <c r="E17" s="15"/>
      <c r="F17" s="15"/>
      <c r="G17" s="15"/>
      <c r="H17" s="15"/>
      <c r="I17" s="15"/>
      <c r="J17" s="15"/>
      <c r="K17" s="15"/>
    </row>
    <row r="18" spans="1:13" x14ac:dyDescent="0.6">
      <c r="A18" s="31">
        <v>1</v>
      </c>
      <c r="B18" s="32" t="s">
        <v>124</v>
      </c>
      <c r="C18" s="65">
        <f>'Ann 2'!C4*100000</f>
        <v>1200000</v>
      </c>
      <c r="D18" s="65">
        <f>C21</f>
        <v>1318497.5538461539</v>
      </c>
      <c r="E18" s="68">
        <f t="shared" ref="E18:K18" si="3">D21</f>
        <v>1575562.3876923076</v>
      </c>
      <c r="F18" s="68">
        <f t="shared" si="3"/>
        <v>1927212.5506769274</v>
      </c>
      <c r="G18" s="68">
        <f t="shared" si="3"/>
        <v>2367702.3985320111</v>
      </c>
      <c r="H18" s="68">
        <f t="shared" si="3"/>
        <v>2891676.954240778</v>
      </c>
      <c r="I18" s="68">
        <f t="shared" si="3"/>
        <v>3475452.498412807</v>
      </c>
      <c r="J18" s="68">
        <f t="shared" si="3"/>
        <v>4131860.6027862411</v>
      </c>
      <c r="K18" s="68">
        <f t="shared" si="3"/>
        <v>4778975.2398436517</v>
      </c>
    </row>
    <row r="19" spans="1:13" x14ac:dyDescent="0.6">
      <c r="A19" s="31"/>
      <c r="B19" s="32" t="s">
        <v>125</v>
      </c>
      <c r="C19" s="65">
        <f>'Ann 4'!C38</f>
        <v>118497.55384615384</v>
      </c>
      <c r="D19" s="65">
        <f>'Ann 4'!D38</f>
        <v>257064.83384615381</v>
      </c>
      <c r="E19" s="68">
        <f>'Ann 4'!E38</f>
        <v>351650.16298461985</v>
      </c>
      <c r="F19" s="68">
        <f>'Ann 4'!F38</f>
        <v>440489.84785508364</v>
      </c>
      <c r="G19" s="68">
        <f>'Ann 4'!G38</f>
        <v>523974.55570876691</v>
      </c>
      <c r="H19" s="68">
        <f>'Ann 4'!H38</f>
        <v>583775.54417202901</v>
      </c>
      <c r="I19" s="68">
        <f>'Ann 4'!I38</f>
        <v>656408.10437343409</v>
      </c>
      <c r="J19" s="68">
        <f>'Ann 4'!J38</f>
        <v>647114.63705741102</v>
      </c>
      <c r="K19" s="68">
        <f>'Ann 4'!K38</f>
        <v>626742.13248316757</v>
      </c>
    </row>
    <row r="20" spans="1:13" x14ac:dyDescent="0.6">
      <c r="A20" s="31"/>
      <c r="B20" s="32" t="s">
        <v>126</v>
      </c>
      <c r="C20" s="65">
        <v>0</v>
      </c>
      <c r="D20" s="65">
        <v>0</v>
      </c>
      <c r="E20" s="68">
        <v>0</v>
      </c>
      <c r="F20" s="68">
        <v>0</v>
      </c>
      <c r="G20" s="68">
        <v>0</v>
      </c>
      <c r="H20" s="68">
        <v>0</v>
      </c>
      <c r="I20" s="68">
        <v>0</v>
      </c>
      <c r="J20" s="68">
        <v>0</v>
      </c>
      <c r="K20" s="68">
        <v>0</v>
      </c>
    </row>
    <row r="21" spans="1:13" x14ac:dyDescent="0.6">
      <c r="A21" s="31"/>
      <c r="B21" s="32" t="s">
        <v>127</v>
      </c>
      <c r="C21" s="65">
        <f>C18+C19</f>
        <v>1318497.5538461539</v>
      </c>
      <c r="D21" s="65">
        <f t="shared" ref="D21:K21" si="4">D18+D19</f>
        <v>1575562.3876923076</v>
      </c>
      <c r="E21" s="68">
        <f t="shared" si="4"/>
        <v>1927212.5506769274</v>
      </c>
      <c r="F21" s="68">
        <f t="shared" si="4"/>
        <v>2367702.3985320111</v>
      </c>
      <c r="G21" s="68">
        <f t="shared" si="4"/>
        <v>2891676.954240778</v>
      </c>
      <c r="H21" s="68">
        <f t="shared" si="4"/>
        <v>3475452.498412807</v>
      </c>
      <c r="I21" s="68">
        <f t="shared" si="4"/>
        <v>4131860.6027862411</v>
      </c>
      <c r="J21" s="68">
        <f t="shared" si="4"/>
        <v>4778975.2398436517</v>
      </c>
      <c r="K21" s="68">
        <f t="shared" si="4"/>
        <v>5405717.3723268192</v>
      </c>
    </row>
    <row r="22" spans="1:13" x14ac:dyDescent="0.6">
      <c r="A22" s="31">
        <v>2</v>
      </c>
      <c r="B22" s="32" t="s">
        <v>128</v>
      </c>
      <c r="C22" s="65">
        <f>'Ann 13'!C13*100000</f>
        <v>8584615.384615384</v>
      </c>
      <c r="D22" s="65">
        <f>'Ann 13'!C17*100000</f>
        <v>7153846.1538461521</v>
      </c>
      <c r="E22" s="65">
        <f>'Ann 13'!C21*100000</f>
        <v>5723076.9230769202</v>
      </c>
      <c r="F22" s="65">
        <f>'Ann 13'!C25*100000</f>
        <v>4292307.6923076874</v>
      </c>
      <c r="G22" s="68">
        <f>('Ann 13'!C28-'Ann 13'!D28)*100000</f>
        <v>2861538.4615384559</v>
      </c>
      <c r="H22" s="68">
        <f>('Ann 13'!C32-'Ann 13'!D32)*100000</f>
        <v>1430769.2307692254</v>
      </c>
      <c r="I22" s="68">
        <v>0</v>
      </c>
      <c r="J22" s="68">
        <v>0</v>
      </c>
      <c r="K22" s="68">
        <v>0</v>
      </c>
    </row>
    <row r="23" spans="1:13" x14ac:dyDescent="0.6">
      <c r="A23" s="31">
        <v>3</v>
      </c>
      <c r="B23" s="64" t="s">
        <v>162</v>
      </c>
      <c r="C23" s="65">
        <f>'Ann 1'!$C$25*100000</f>
        <v>1500000</v>
      </c>
      <c r="D23" s="65">
        <f>'Ann 1'!$C$25*100000</f>
        <v>1500000</v>
      </c>
      <c r="E23" s="65">
        <f>'Ann 1'!$C$25*100000</f>
        <v>1500000</v>
      </c>
      <c r="F23" s="65">
        <f>'Ann 1'!$C$25*100000</f>
        <v>1500000</v>
      </c>
      <c r="G23" s="65">
        <f>'Ann 1'!$C$25*100000</f>
        <v>1500000</v>
      </c>
      <c r="H23" s="65">
        <f>'Ann 1'!$C$25*100000</f>
        <v>1500000</v>
      </c>
      <c r="I23" s="65">
        <f>'Ann 1'!$C$25*100000</f>
        <v>1500000</v>
      </c>
      <c r="J23" s="65">
        <f>'Ann 1'!$C$25*100000</f>
        <v>1500000</v>
      </c>
      <c r="K23" s="65">
        <f>'Ann 1'!$C$25*100000</f>
        <v>1500000</v>
      </c>
    </row>
    <row r="24" spans="1:13" x14ac:dyDescent="0.6">
      <c r="A24" s="31">
        <v>4</v>
      </c>
      <c r="B24" s="64" t="s">
        <v>157</v>
      </c>
      <c r="C24" s="65">
        <f>('Ann 4'!C10+'Ann 4'!C7)*60/360</f>
        <v>86625000</v>
      </c>
      <c r="D24" s="65">
        <f>('Ann 4'!D10+'Ann 4'!D7)*60/360</f>
        <v>92812500</v>
      </c>
      <c r="E24" s="65">
        <f>('Ann 4'!E10+'Ann 4'!E7)*60/360</f>
        <v>99000000</v>
      </c>
      <c r="F24" s="65">
        <f>('Ann 4'!F10+'Ann 4'!F7)*60/360</f>
        <v>105187500</v>
      </c>
      <c r="G24" s="65">
        <f>('Ann 4'!G10+'Ann 4'!G7)*60/360</f>
        <v>111375000</v>
      </c>
      <c r="H24" s="65">
        <f>('Ann 4'!H10+'Ann 4'!H7)*60/360</f>
        <v>117562500</v>
      </c>
      <c r="I24" s="65">
        <f>('Ann 4'!I10+'Ann 4'!I7)*60/360</f>
        <v>123750000</v>
      </c>
      <c r="J24" s="65">
        <f>('Ann 4'!J10+'Ann 4'!J7)*60/360</f>
        <v>123750000</v>
      </c>
      <c r="K24" s="65">
        <f>('Ann 4'!K10+'Ann 4'!K7)*60/360</f>
        <v>123750000</v>
      </c>
    </row>
    <row r="25" spans="1:13" x14ac:dyDescent="0.6">
      <c r="A25" s="31"/>
      <c r="B25" s="32" t="s">
        <v>129</v>
      </c>
      <c r="C25" s="62">
        <f t="shared" ref="C25:K25" si="5">SUM(C21:C24)</f>
        <v>98028112.938461542</v>
      </c>
      <c r="D25" s="62">
        <f t="shared" si="5"/>
        <v>103041908.54153846</v>
      </c>
      <c r="E25" s="62">
        <f t="shared" si="5"/>
        <v>108150289.47375384</v>
      </c>
      <c r="F25" s="62">
        <f t="shared" si="5"/>
        <v>113347510.0908397</v>
      </c>
      <c r="G25" s="62">
        <f t="shared" si="5"/>
        <v>118628215.41577923</v>
      </c>
      <c r="H25" s="62">
        <f t="shared" si="5"/>
        <v>123968721.72918203</v>
      </c>
      <c r="I25" s="62">
        <f t="shared" si="5"/>
        <v>129381860.60278624</v>
      </c>
      <c r="J25" s="62">
        <f t="shared" si="5"/>
        <v>130028975.23984365</v>
      </c>
      <c r="K25" s="62">
        <f t="shared" si="5"/>
        <v>130655717.37232682</v>
      </c>
    </row>
    <row r="26" spans="1:13" x14ac:dyDescent="0.6">
      <c r="A26" s="31"/>
      <c r="B26" s="32"/>
      <c r="C26" s="62"/>
      <c r="D26" s="62"/>
      <c r="E26" s="62"/>
      <c r="F26" s="62"/>
      <c r="G26" s="62"/>
      <c r="H26" s="62"/>
      <c r="I26" s="62"/>
      <c r="J26" s="62"/>
      <c r="K26" s="62"/>
      <c r="L26" s="69"/>
      <c r="M26" s="32"/>
    </row>
    <row r="27" spans="1:13" x14ac:dyDescent="0.6">
      <c r="A27" s="73"/>
      <c r="B27" s="74" t="s">
        <v>131</v>
      </c>
      <c r="C27" s="75"/>
      <c r="D27" s="75"/>
      <c r="E27" s="76"/>
      <c r="F27" s="76"/>
      <c r="G27" s="76"/>
      <c r="H27" s="76"/>
      <c r="I27" s="76"/>
      <c r="J27" s="76"/>
      <c r="K27" s="76"/>
    </row>
    <row r="28" spans="1:13" x14ac:dyDescent="0.6">
      <c r="A28" s="31"/>
      <c r="B28" s="32" t="s">
        <v>132</v>
      </c>
      <c r="C28" s="62">
        <f t="shared" ref="C28:K28" si="6">SUM(C12:C14)</f>
        <v>89173112.938461542</v>
      </c>
      <c r="D28" s="62">
        <f t="shared" si="6"/>
        <v>95425158.541538462</v>
      </c>
      <c r="E28" s="66">
        <f t="shared" si="6"/>
        <v>101595051.97375387</v>
      </c>
      <c r="F28" s="66">
        <f t="shared" si="6"/>
        <v>107702658.21583967</v>
      </c>
      <c r="G28" s="66">
        <f t="shared" si="6"/>
        <v>113764481.32202916</v>
      </c>
      <c r="H28" s="66">
        <f t="shared" si="6"/>
        <v>119775498.7494944</v>
      </c>
      <c r="I28" s="66">
        <f t="shared" si="6"/>
        <v>125764476.97005177</v>
      </c>
      <c r="J28" s="66">
        <f t="shared" si="6"/>
        <v>126906369.46201932</v>
      </c>
      <c r="K28" s="66">
        <f t="shared" si="6"/>
        <v>127958455.74017613</v>
      </c>
    </row>
    <row r="29" spans="1:13" x14ac:dyDescent="0.6">
      <c r="A29" s="31"/>
      <c r="B29" s="32" t="s">
        <v>133</v>
      </c>
      <c r="C29" s="62">
        <f>C24+C23</f>
        <v>88125000</v>
      </c>
      <c r="D29" s="62">
        <f t="shared" ref="D29:K29" si="7">D24+D23</f>
        <v>94312500</v>
      </c>
      <c r="E29" s="62">
        <f t="shared" si="7"/>
        <v>100500000</v>
      </c>
      <c r="F29" s="62">
        <f t="shared" si="7"/>
        <v>106687500</v>
      </c>
      <c r="G29" s="62">
        <f t="shared" si="7"/>
        <v>112875000</v>
      </c>
      <c r="H29" s="62">
        <f t="shared" si="7"/>
        <v>119062500</v>
      </c>
      <c r="I29" s="62">
        <f t="shared" si="7"/>
        <v>125250000</v>
      </c>
      <c r="J29" s="62">
        <f t="shared" si="7"/>
        <v>125250000</v>
      </c>
      <c r="K29" s="62">
        <f t="shared" si="7"/>
        <v>125250000</v>
      </c>
    </row>
    <row r="30" spans="1:13" x14ac:dyDescent="0.6">
      <c r="A30" s="31"/>
      <c r="B30" s="32" t="s">
        <v>137</v>
      </c>
      <c r="C30" s="14">
        <f>C28/C29</f>
        <v>1.011893480152755</v>
      </c>
      <c r="D30" s="14">
        <f>D28/D29</f>
        <v>1.0117975723423562</v>
      </c>
      <c r="E30" s="15">
        <f t="shared" ref="E30:K30" si="8">E28/E29</f>
        <v>1.0108960395398394</v>
      </c>
      <c r="F30" s="15">
        <f t="shared" si="8"/>
        <v>1.0095152498262652</v>
      </c>
      <c r="G30" s="15">
        <f t="shared" si="8"/>
        <v>1.0078802331962715</v>
      </c>
      <c r="H30" s="15">
        <f t="shared" si="8"/>
        <v>1.0059884409406354</v>
      </c>
      <c r="I30" s="15">
        <f t="shared" si="8"/>
        <v>1.0041076005592955</v>
      </c>
      <c r="J30" s="15">
        <f t="shared" si="8"/>
        <v>1.013224506682789</v>
      </c>
      <c r="K30" s="15">
        <f t="shared" si="8"/>
        <v>1.0216243971271548</v>
      </c>
    </row>
    <row r="31" spans="1:13" x14ac:dyDescent="0.6">
      <c r="A31" s="31"/>
      <c r="B31" s="64" t="s">
        <v>150</v>
      </c>
      <c r="C31" s="14"/>
      <c r="D31" s="14"/>
      <c r="E31" s="15"/>
      <c r="F31" s="15">
        <f>AVERAGE(C30:K30)</f>
        <v>1.0107697244852625</v>
      </c>
      <c r="G31" s="15"/>
      <c r="H31" s="15"/>
      <c r="I31" s="15"/>
      <c r="J31" s="15"/>
      <c r="K31" s="15"/>
    </row>
    <row r="32" spans="1:13" x14ac:dyDescent="0.6">
      <c r="A32" s="31"/>
      <c r="B32" s="32"/>
      <c r="C32" s="14"/>
      <c r="D32" s="14"/>
      <c r="E32" s="15"/>
      <c r="F32" s="15"/>
      <c r="G32" s="15"/>
      <c r="H32" s="15"/>
      <c r="I32" s="15"/>
      <c r="J32" s="15"/>
      <c r="K32" s="15"/>
    </row>
    <row r="33" spans="1:11" x14ac:dyDescent="0.6">
      <c r="A33" s="73"/>
      <c r="B33" s="74" t="s">
        <v>134</v>
      </c>
      <c r="C33" s="75"/>
      <c r="D33" s="75"/>
      <c r="E33" s="76"/>
      <c r="F33" s="76"/>
      <c r="G33" s="76"/>
      <c r="H33" s="76"/>
      <c r="I33" s="76"/>
      <c r="J33" s="76"/>
      <c r="K33" s="76"/>
    </row>
    <row r="34" spans="1:11" x14ac:dyDescent="0.6">
      <c r="A34" s="31"/>
      <c r="B34" s="32" t="s">
        <v>135</v>
      </c>
      <c r="C34" s="62">
        <f>C22+C23</f>
        <v>10084615.384615384</v>
      </c>
      <c r="D34" s="62">
        <f t="shared" ref="D34:K34" si="9">D22+D23</f>
        <v>8653846.1538461521</v>
      </c>
      <c r="E34" s="62">
        <f t="shared" si="9"/>
        <v>7223076.9230769202</v>
      </c>
      <c r="F34" s="62">
        <f t="shared" si="9"/>
        <v>5792307.6923076874</v>
      </c>
      <c r="G34" s="62">
        <f t="shared" si="9"/>
        <v>4361538.4615384564</v>
      </c>
      <c r="H34" s="62">
        <f t="shared" si="9"/>
        <v>2930769.2307692254</v>
      </c>
      <c r="I34" s="62">
        <f t="shared" si="9"/>
        <v>1500000</v>
      </c>
      <c r="J34" s="62">
        <f t="shared" si="9"/>
        <v>1500000</v>
      </c>
      <c r="K34" s="62">
        <f t="shared" si="9"/>
        <v>1500000</v>
      </c>
    </row>
    <row r="35" spans="1:11" x14ac:dyDescent="0.6">
      <c r="A35" s="31"/>
      <c r="B35" s="32" t="s">
        <v>136</v>
      </c>
      <c r="C35" s="62">
        <f t="shared" ref="C35:K35" si="10">C21</f>
        <v>1318497.5538461539</v>
      </c>
      <c r="D35" s="62">
        <f t="shared" si="10"/>
        <v>1575562.3876923076</v>
      </c>
      <c r="E35" s="66">
        <f t="shared" si="10"/>
        <v>1927212.5506769274</v>
      </c>
      <c r="F35" s="66">
        <f t="shared" si="10"/>
        <v>2367702.3985320111</v>
      </c>
      <c r="G35" s="66">
        <f t="shared" si="10"/>
        <v>2891676.954240778</v>
      </c>
      <c r="H35" s="66">
        <f t="shared" si="10"/>
        <v>3475452.498412807</v>
      </c>
      <c r="I35" s="66">
        <f t="shared" si="10"/>
        <v>4131860.6027862411</v>
      </c>
      <c r="J35" s="66">
        <f t="shared" si="10"/>
        <v>4778975.2398436517</v>
      </c>
      <c r="K35" s="66">
        <f t="shared" si="10"/>
        <v>5405717.3723268192</v>
      </c>
    </row>
    <row r="36" spans="1:11" x14ac:dyDescent="0.6">
      <c r="A36" s="31"/>
      <c r="B36" s="32" t="s">
        <v>137</v>
      </c>
      <c r="C36" s="14">
        <f>C34/C35</f>
        <v>7.6485658658962414</v>
      </c>
      <c r="D36" s="14">
        <f t="shared" ref="D36:K36" si="11">D34/D35</f>
        <v>5.4925442632082975</v>
      </c>
      <c r="E36" s="15">
        <f t="shared" si="11"/>
        <v>3.7479399563581279</v>
      </c>
      <c r="F36" s="15">
        <f t="shared" si="11"/>
        <v>2.4463833359711722</v>
      </c>
      <c r="G36" s="15">
        <f t="shared" si="11"/>
        <v>1.5083076465861993</v>
      </c>
      <c r="H36" s="15">
        <f t="shared" si="11"/>
        <v>0.84327702136848903</v>
      </c>
      <c r="I36" s="15">
        <f t="shared" si="11"/>
        <v>0.36303257641085562</v>
      </c>
      <c r="J36" s="15">
        <f t="shared" si="11"/>
        <v>0.31387482142491152</v>
      </c>
      <c r="K36" s="15">
        <f t="shared" si="11"/>
        <v>0.27748398532244112</v>
      </c>
    </row>
    <row r="37" spans="1:11" x14ac:dyDescent="0.6">
      <c r="A37" s="31"/>
      <c r="B37" s="64" t="s">
        <v>150</v>
      </c>
      <c r="C37" s="14"/>
      <c r="D37" s="14"/>
      <c r="E37" s="15"/>
      <c r="F37" s="15">
        <f>AVERAGE(C36:K36)</f>
        <v>2.5157121636163042</v>
      </c>
      <c r="G37" s="15"/>
      <c r="H37" s="15"/>
      <c r="I37" s="66"/>
      <c r="J37" s="66"/>
      <c r="K37" s="66"/>
    </row>
    <row r="38" spans="1:11" x14ac:dyDescent="0.6">
      <c r="A38" s="31"/>
      <c r="B38" s="32"/>
      <c r="C38" s="14"/>
      <c r="D38" s="14"/>
      <c r="E38" s="15"/>
      <c r="F38" s="15"/>
      <c r="G38" s="15"/>
      <c r="H38" s="15"/>
      <c r="I38" s="66"/>
      <c r="J38" s="66"/>
      <c r="K38" s="66"/>
    </row>
    <row r="39" spans="1:11" x14ac:dyDescent="0.6">
      <c r="A39" s="73"/>
      <c r="B39" s="74" t="s">
        <v>151</v>
      </c>
      <c r="C39" s="75"/>
      <c r="D39" s="75"/>
      <c r="E39" s="76"/>
      <c r="F39" s="76"/>
      <c r="G39" s="76"/>
      <c r="H39" s="76"/>
      <c r="I39" s="77"/>
      <c r="J39" s="77"/>
      <c r="K39" s="77"/>
    </row>
    <row r="40" spans="1:11" x14ac:dyDescent="0.6">
      <c r="A40" s="31"/>
      <c r="B40" s="64" t="s">
        <v>152</v>
      </c>
      <c r="C40" s="62">
        <f t="shared" ref="C40:K40" si="12">C11</f>
        <v>8855000</v>
      </c>
      <c r="D40" s="62">
        <f t="shared" si="12"/>
        <v>7616750</v>
      </c>
      <c r="E40" s="62">
        <f t="shared" si="12"/>
        <v>6555237.5</v>
      </c>
      <c r="F40" s="62">
        <f t="shared" si="12"/>
        <v>5644851.875</v>
      </c>
      <c r="G40" s="62">
        <f t="shared" si="12"/>
        <v>4863734.09375</v>
      </c>
      <c r="H40" s="62">
        <f t="shared" si="12"/>
        <v>4193222.9796874998</v>
      </c>
      <c r="I40" s="62">
        <f t="shared" si="12"/>
        <v>3617383.6327343751</v>
      </c>
      <c r="J40" s="62">
        <f t="shared" si="12"/>
        <v>3122605.7778242189</v>
      </c>
      <c r="K40" s="62">
        <f t="shared" si="12"/>
        <v>2697261.6321505862</v>
      </c>
    </row>
    <row r="41" spans="1:11" x14ac:dyDescent="0.6">
      <c r="A41" s="31"/>
      <c r="B41" s="64" t="s">
        <v>135</v>
      </c>
      <c r="C41" s="62">
        <f t="shared" ref="C41:K41" si="13">C22+C23</f>
        <v>10084615.384615384</v>
      </c>
      <c r="D41" s="62">
        <f t="shared" si="13"/>
        <v>8653846.1538461521</v>
      </c>
      <c r="E41" s="62">
        <f t="shared" si="13"/>
        <v>7223076.9230769202</v>
      </c>
      <c r="F41" s="62">
        <f t="shared" si="13"/>
        <v>5792307.6923076874</v>
      </c>
      <c r="G41" s="62">
        <f t="shared" si="13"/>
        <v>4361538.4615384564</v>
      </c>
      <c r="H41" s="62">
        <f t="shared" si="13"/>
        <v>2930769.2307692254</v>
      </c>
      <c r="I41" s="62">
        <f t="shared" si="13"/>
        <v>1500000</v>
      </c>
      <c r="J41" s="62">
        <f t="shared" si="13"/>
        <v>1500000</v>
      </c>
      <c r="K41" s="62">
        <f t="shared" si="13"/>
        <v>1500000</v>
      </c>
    </row>
    <row r="42" spans="1:11" x14ac:dyDescent="0.6">
      <c r="A42" s="31"/>
      <c r="B42" s="64" t="s">
        <v>146</v>
      </c>
      <c r="C42" s="14">
        <f>C40/C41</f>
        <v>0.87807017543859656</v>
      </c>
      <c r="D42" s="14">
        <f t="shared" ref="D42:G42" si="14">D40/D41</f>
        <v>0.88015777777777793</v>
      </c>
      <c r="E42" s="14">
        <f t="shared" si="14"/>
        <v>0.9075408679446223</v>
      </c>
      <c r="F42" s="14">
        <f t="shared" si="14"/>
        <v>0.97454282038512696</v>
      </c>
      <c r="G42" s="14">
        <f t="shared" si="14"/>
        <v>1.1151418557098778</v>
      </c>
      <c r="H42" s="62">
        <v>0</v>
      </c>
      <c r="I42" s="62">
        <v>0</v>
      </c>
      <c r="J42" s="62">
        <v>0</v>
      </c>
      <c r="K42" s="62">
        <v>0</v>
      </c>
    </row>
    <row r="43" spans="1:11" x14ac:dyDescent="0.6">
      <c r="A43" s="31"/>
      <c r="B43" s="64" t="s">
        <v>150</v>
      </c>
      <c r="C43" s="14"/>
      <c r="D43" s="14"/>
      <c r="E43" s="15"/>
      <c r="F43" s="15">
        <f>AVERAGE(C42:K42)</f>
        <v>0.52838372191733352</v>
      </c>
      <c r="G43" s="15"/>
      <c r="H43" s="15"/>
      <c r="I43" s="15"/>
      <c r="J43" s="15"/>
      <c r="K43" s="15"/>
    </row>
    <row r="44" spans="1:11" x14ac:dyDescent="0.6">
      <c r="A44" s="31"/>
      <c r="B44" s="32"/>
      <c r="C44" s="14"/>
      <c r="D44" s="14"/>
      <c r="E44" s="15"/>
      <c r="F44" s="15"/>
      <c r="G44" s="15"/>
      <c r="H44" s="15"/>
      <c r="I44" s="66"/>
      <c r="J44" s="66"/>
      <c r="K44" s="66"/>
    </row>
    <row r="45" spans="1:11" x14ac:dyDescent="0.6">
      <c r="A45" s="73"/>
      <c r="B45" s="74" t="s">
        <v>143</v>
      </c>
      <c r="C45" s="75"/>
      <c r="D45" s="75"/>
      <c r="E45" s="76"/>
      <c r="F45" s="76"/>
      <c r="G45" s="76"/>
      <c r="H45" s="76"/>
      <c r="I45" s="77"/>
      <c r="J45" s="77"/>
      <c r="K45" s="77"/>
    </row>
    <row r="46" spans="1:11" x14ac:dyDescent="0.6">
      <c r="A46" s="31"/>
      <c r="B46" s="32" t="s">
        <v>144</v>
      </c>
      <c r="C46" s="65">
        <f>'Ann 4'!C29</f>
        <v>702634.61538461538</v>
      </c>
      <c r="D46" s="65">
        <f>'Ann 4'!D29</f>
        <v>632884.61538461526</v>
      </c>
      <c r="E46" s="65">
        <f>'Ann 4'!E29</f>
        <v>547038.46153846139</v>
      </c>
      <c r="F46" s="65">
        <f>'Ann 4'!F29</f>
        <v>461192.30769230745</v>
      </c>
      <c r="G46" s="65">
        <f>'Ann 4'!G29</f>
        <v>375346.15384615352</v>
      </c>
      <c r="H46" s="65">
        <f>'Ann 4'!H29</f>
        <v>289499.99999999965</v>
      </c>
      <c r="I46" s="65">
        <f>'Ann 4'!I29</f>
        <v>203653.84615384584</v>
      </c>
      <c r="J46" s="65">
        <f>'Ann 4'!J29</f>
        <v>150000</v>
      </c>
      <c r="K46" s="65">
        <f>'Ann 4'!K29</f>
        <v>150000</v>
      </c>
    </row>
    <row r="47" spans="1:11" x14ac:dyDescent="0.6">
      <c r="A47" s="31"/>
      <c r="B47" s="32" t="s">
        <v>147</v>
      </c>
      <c r="C47" s="65">
        <f>(SUM('Ann 13'!D9:D12)*100000)+('Ann 1'!$C$25*100000)</f>
        <v>2215384.6153846155</v>
      </c>
      <c r="D47" s="65">
        <f>(SUM('Ann 13'!D13:D16)*100000)+('Ann 1'!$C$25*100000)</f>
        <v>2930769.230769231</v>
      </c>
      <c r="E47" s="65">
        <f>(SUM('Ann 13'!D17:D20)*100000)+('Ann 1'!$C$25*100000)</f>
        <v>2930769.230769231</v>
      </c>
      <c r="F47" s="65">
        <f>(SUM('Ann 13'!D21:D24)*100000)+('Ann 1'!$C$25*100000)</f>
        <v>2930769.230769231</v>
      </c>
      <c r="G47" s="65">
        <f>(SUM('Ann 13'!D25:D28)*100000)+('Ann 1'!$C$25*100000)</f>
        <v>2930769.230769231</v>
      </c>
      <c r="H47" s="65">
        <f>(SUM('Ann 13'!D29:D32)*100000)+('Ann 1'!$C$25*100000)</f>
        <v>2930769.230769231</v>
      </c>
      <c r="I47" s="65">
        <f>(SUM('Ann 13'!D33:D36)*100000)+('Ann 1'!$C$25*100000)</f>
        <v>2930769.2307692254</v>
      </c>
      <c r="J47" s="65">
        <f>(SUM('Ann 13'!D37:D37)*100000)+('Ann 1'!$C$25*100000)</f>
        <v>1500000</v>
      </c>
      <c r="K47" s="65">
        <f>(SUM('Ann 13'!D38:D39)*100000)+('Ann 1'!$C$25*100000)</f>
        <v>1500000</v>
      </c>
    </row>
    <row r="48" spans="1:11" x14ac:dyDescent="0.6">
      <c r="A48" s="31"/>
      <c r="B48" s="32" t="s">
        <v>8</v>
      </c>
      <c r="C48" s="65">
        <f>SUM(C46:C47)</f>
        <v>2918019.230769231</v>
      </c>
      <c r="D48" s="65">
        <f t="shared" ref="D48:K48" si="15">SUM(D46:D47)</f>
        <v>3563653.846153846</v>
      </c>
      <c r="E48" s="68">
        <f t="shared" si="15"/>
        <v>3477807.6923076925</v>
      </c>
      <c r="F48" s="68">
        <f t="shared" si="15"/>
        <v>3391961.5384615385</v>
      </c>
      <c r="G48" s="68">
        <f t="shared" si="15"/>
        <v>3306115.3846153845</v>
      </c>
      <c r="H48" s="68">
        <f t="shared" si="15"/>
        <v>3220269.2307692305</v>
      </c>
      <c r="I48" s="68">
        <f t="shared" si="15"/>
        <v>3134423.0769230714</v>
      </c>
      <c r="J48" s="68">
        <f t="shared" si="15"/>
        <v>1650000</v>
      </c>
      <c r="K48" s="68">
        <f t="shared" si="15"/>
        <v>1650000</v>
      </c>
    </row>
    <row r="49" spans="1:11" x14ac:dyDescent="0.6">
      <c r="A49" s="31"/>
      <c r="B49" s="32" t="s">
        <v>145</v>
      </c>
      <c r="C49" s="65">
        <f>'Ann 4'!C24</f>
        <v>3279760</v>
      </c>
      <c r="D49" s="65">
        <f>'Ann 4'!D24</f>
        <v>3707312</v>
      </c>
      <c r="E49" s="68">
        <f>'Ann 4'!E24</f>
        <v>4120337.8400000334</v>
      </c>
      <c r="F49" s="68">
        <f>'Ann 4'!F24</f>
        <v>4517933.9888000488</v>
      </c>
      <c r="G49" s="68">
        <f>'Ann 4'!G24</f>
        <v>4899139.3330159187</v>
      </c>
      <c r="H49" s="68">
        <f>'Ann 4'!H24</f>
        <v>5129836.429576993</v>
      </c>
      <c r="I49" s="68">
        <f>'Ann 4'!I24</f>
        <v>5468122.5100600719</v>
      </c>
      <c r="J49" s="68">
        <f>'Ann 4'!J24</f>
        <v>5267025.2624630928</v>
      </c>
      <c r="K49" s="68">
        <f>'Ann 4'!K24</f>
        <v>5052073.6634105444</v>
      </c>
    </row>
    <row r="50" spans="1:11" x14ac:dyDescent="0.6">
      <c r="A50" s="31"/>
      <c r="B50" s="32" t="s">
        <v>146</v>
      </c>
      <c r="C50" s="14">
        <f>C49/C48</f>
        <v>1.1239679181742093</v>
      </c>
      <c r="D50" s="14">
        <f t="shared" ref="D50:H50" si="16">D49/D48</f>
        <v>1.0403120392855216</v>
      </c>
      <c r="E50" s="15">
        <f t="shared" si="16"/>
        <v>1.1847514884487449</v>
      </c>
      <c r="F50" s="15">
        <f t="shared" si="16"/>
        <v>1.3319531892007264</v>
      </c>
      <c r="G50" s="15">
        <f t="shared" si="16"/>
        <v>1.4818416065614293</v>
      </c>
      <c r="H50" s="15">
        <f t="shared" si="16"/>
        <v>1.5929837109773648</v>
      </c>
      <c r="I50" s="16">
        <v>0</v>
      </c>
      <c r="J50" s="16">
        <v>0</v>
      </c>
      <c r="K50" s="16">
        <v>0</v>
      </c>
    </row>
    <row r="51" spans="1:11" ht="17.5" thickBot="1" x14ac:dyDescent="0.65">
      <c r="A51" s="129"/>
      <c r="B51" s="130" t="s">
        <v>150</v>
      </c>
      <c r="C51" s="131"/>
      <c r="D51" s="131"/>
      <c r="E51" s="132"/>
      <c r="F51" s="132">
        <f>AVERAGE(C50:G50)</f>
        <v>1.2325652483341263</v>
      </c>
      <c r="G51" s="132"/>
      <c r="H51" s="132"/>
      <c r="I51" s="133"/>
      <c r="J51" s="133"/>
      <c r="K51" s="133"/>
    </row>
    <row r="52" spans="1:11" ht="17.5" thickTop="1" x14ac:dyDescent="0.6"/>
    <row r="53" spans="1:11" x14ac:dyDescent="0.6">
      <c r="A53" s="8" t="s">
        <v>293</v>
      </c>
    </row>
    <row r="54" spans="1:11" x14ac:dyDescent="0.6">
      <c r="A54" s="8" t="s">
        <v>277</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3" t="s">
        <v>221</v>
      </c>
    </row>
    <row r="3" spans="1:3" x14ac:dyDescent="0.35">
      <c r="A3" s="2" t="s">
        <v>224</v>
      </c>
    </row>
    <row r="5" spans="1:3" x14ac:dyDescent="0.35">
      <c r="A5" s="3" t="s">
        <v>222</v>
      </c>
    </row>
    <row r="6" spans="1:3" x14ac:dyDescent="0.35">
      <c r="A6" s="4" t="s">
        <v>230</v>
      </c>
    </row>
    <row r="7" spans="1:3" x14ac:dyDescent="0.35">
      <c r="A7" t="s">
        <v>223</v>
      </c>
      <c r="B7">
        <v>5</v>
      </c>
      <c r="C7" t="s">
        <v>227</v>
      </c>
    </row>
    <row r="8" spans="1:3" x14ac:dyDescent="0.35">
      <c r="A8" t="s">
        <v>225</v>
      </c>
      <c r="B8">
        <v>30</v>
      </c>
      <c r="C8" t="s">
        <v>228</v>
      </c>
    </row>
    <row r="9" spans="1:3" x14ac:dyDescent="0.35">
      <c r="A9" t="s">
        <v>226</v>
      </c>
      <c r="B9">
        <f>B8*3000*20/B7</f>
        <v>360000</v>
      </c>
      <c r="C9" t="s">
        <v>229</v>
      </c>
    </row>
    <row r="11" spans="1:3" x14ac:dyDescent="0.35">
      <c r="A11" s="4" t="s">
        <v>231</v>
      </c>
    </row>
    <row r="12" spans="1:3" x14ac:dyDescent="0.35">
      <c r="A12" s="4" t="s">
        <v>223</v>
      </c>
      <c r="B12">
        <v>0.5</v>
      </c>
      <c r="C12" t="s">
        <v>232</v>
      </c>
    </row>
    <row r="13" spans="1:3" x14ac:dyDescent="0.35">
      <c r="A13" s="4" t="s">
        <v>233</v>
      </c>
      <c r="B13">
        <f>B12*3000*30</f>
        <v>45000</v>
      </c>
      <c r="C13" t="s">
        <v>234</v>
      </c>
    </row>
    <row r="15" spans="1:3" x14ac:dyDescent="0.35">
      <c r="A15" t="s">
        <v>235</v>
      </c>
      <c r="B15">
        <f>B13+B9</f>
        <v>405000</v>
      </c>
    </row>
    <row r="16" spans="1:3" x14ac:dyDescent="0.35">
      <c r="A16" t="s">
        <v>236</v>
      </c>
      <c r="B16">
        <v>75</v>
      </c>
    </row>
    <row r="17" spans="1:2" x14ac:dyDescent="0.35">
      <c r="A17" t="s">
        <v>237</v>
      </c>
      <c r="B17" s="6">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sheetPr>
    <pageSetUpPr fitToPage="1"/>
  </sheetPr>
  <dimension ref="A1:F20"/>
  <sheetViews>
    <sheetView topLeftCell="A5" workbookViewId="0">
      <selection activeCell="D9" sqref="D6:D9"/>
    </sheetView>
  </sheetViews>
  <sheetFormatPr defaultRowHeight="17" x14ac:dyDescent="0.6"/>
  <cols>
    <col min="1" max="1" width="5.6328125" style="8" bestFit="1" customWidth="1"/>
    <col min="2" max="2" width="26.08984375" style="8" bestFit="1" customWidth="1"/>
    <col min="3" max="3" width="8.7265625" style="8"/>
    <col min="4" max="4" width="25" style="8" bestFit="1" customWidth="1"/>
    <col min="5" max="5" width="12.54296875" style="8" bestFit="1" customWidth="1"/>
    <col min="6" max="16384" width="8.7265625" style="8"/>
  </cols>
  <sheetData>
    <row r="1" spans="1:6" x14ac:dyDescent="0.6">
      <c r="A1" s="7" t="s">
        <v>154</v>
      </c>
    </row>
    <row r="3" spans="1:6" x14ac:dyDescent="0.6">
      <c r="A3" s="78" t="s">
        <v>155</v>
      </c>
    </row>
    <row r="5" spans="1:6" x14ac:dyDescent="0.6">
      <c r="A5" s="12" t="s">
        <v>52</v>
      </c>
      <c r="B5" s="12" t="s">
        <v>53</v>
      </c>
      <c r="C5" s="12" t="s">
        <v>54</v>
      </c>
      <c r="D5" s="12" t="s">
        <v>55</v>
      </c>
      <c r="E5" s="12" t="s">
        <v>218</v>
      </c>
    </row>
    <row r="6" spans="1:6" x14ac:dyDescent="0.6">
      <c r="A6" s="56" t="s">
        <v>56</v>
      </c>
      <c r="B6" s="56" t="s">
        <v>247</v>
      </c>
      <c r="C6" s="56">
        <v>1</v>
      </c>
      <c r="D6" s="55">
        <v>25000</v>
      </c>
      <c r="E6" s="55">
        <f>D6*C6*12</f>
        <v>300000</v>
      </c>
    </row>
    <row r="7" spans="1:6" x14ac:dyDescent="0.6">
      <c r="A7" s="9" t="s">
        <v>57</v>
      </c>
      <c r="B7" s="9" t="s">
        <v>248</v>
      </c>
      <c r="C7" s="9">
        <v>1</v>
      </c>
      <c r="D7" s="55">
        <v>20000</v>
      </c>
      <c r="E7" s="55">
        <f>D7*C7*12</f>
        <v>240000</v>
      </c>
    </row>
    <row r="8" spans="1:6" x14ac:dyDescent="0.6">
      <c r="A8" s="9" t="s">
        <v>60</v>
      </c>
      <c r="B8" s="9" t="s">
        <v>249</v>
      </c>
      <c r="C8" s="9">
        <v>3</v>
      </c>
      <c r="D8" s="55">
        <v>10000</v>
      </c>
      <c r="E8" s="55">
        <f>D8*C8*12</f>
        <v>360000</v>
      </c>
    </row>
    <row r="9" spans="1:6" x14ac:dyDescent="0.6">
      <c r="A9" s="9" t="s">
        <v>217</v>
      </c>
      <c r="B9" s="9" t="s">
        <v>156</v>
      </c>
      <c r="C9" s="9">
        <v>2</v>
      </c>
      <c r="D9" s="55">
        <v>6000</v>
      </c>
      <c r="E9" s="55">
        <f>D9*C9*12</f>
        <v>144000</v>
      </c>
    </row>
    <row r="10" spans="1:6" x14ac:dyDescent="0.6">
      <c r="A10" s="9" t="s">
        <v>250</v>
      </c>
      <c r="B10" s="9" t="s">
        <v>251</v>
      </c>
      <c r="C10" s="9">
        <v>5</v>
      </c>
      <c r="D10" s="55"/>
      <c r="E10" s="55">
        <f>400*300*C10</f>
        <v>600000</v>
      </c>
      <c r="F10" s="8" t="s">
        <v>275</v>
      </c>
    </row>
    <row r="11" spans="1:6" x14ac:dyDescent="0.6">
      <c r="A11" s="138" t="s">
        <v>8</v>
      </c>
      <c r="B11" s="138"/>
      <c r="C11" s="138"/>
      <c r="D11" s="138"/>
      <c r="E11" s="79">
        <f>SUM(E6:E10)</f>
        <v>1644000</v>
      </c>
    </row>
    <row r="12" spans="1:6" x14ac:dyDescent="0.6">
      <c r="A12" s="37"/>
      <c r="B12" s="80"/>
      <c r="C12" s="80"/>
      <c r="D12" s="80"/>
      <c r="E12" s="61"/>
    </row>
    <row r="13" spans="1:6" x14ac:dyDescent="0.6">
      <c r="A13" s="70" t="s">
        <v>252</v>
      </c>
      <c r="B13" s="71"/>
      <c r="C13" s="71"/>
      <c r="D13" s="71"/>
      <c r="E13" s="81">
        <f>E11*10%</f>
        <v>164400</v>
      </c>
    </row>
    <row r="14" spans="1:6" x14ac:dyDescent="0.6">
      <c r="A14" s="35" t="s">
        <v>8</v>
      </c>
      <c r="B14" s="36"/>
      <c r="C14" s="36"/>
      <c r="D14" s="36"/>
      <c r="E14" s="82">
        <f>SUM(E11:E13)</f>
        <v>1808400</v>
      </c>
    </row>
    <row r="16" spans="1:6" x14ac:dyDescent="0.6">
      <c r="A16" s="8" t="s">
        <v>58</v>
      </c>
      <c r="E16" s="51">
        <f>E14</f>
        <v>1808400</v>
      </c>
    </row>
    <row r="17" spans="1:5" x14ac:dyDescent="0.6">
      <c r="A17" s="8" t="s">
        <v>59</v>
      </c>
      <c r="E17" s="83">
        <v>7.0000000000000007E-2</v>
      </c>
    </row>
    <row r="18" spans="1:5" x14ac:dyDescent="0.6">
      <c r="A18" s="8" t="s">
        <v>158</v>
      </c>
      <c r="E18" s="8">
        <f>SUM(C6:C10)</f>
        <v>12</v>
      </c>
    </row>
    <row r="20" spans="1:5" x14ac:dyDescent="0.6">
      <c r="A20" s="8" t="s">
        <v>276</v>
      </c>
    </row>
  </sheetData>
  <mergeCells count="1">
    <mergeCell ref="A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E8" sqref="E8"/>
    </sheetView>
  </sheetViews>
  <sheetFormatPr defaultRowHeight="17" x14ac:dyDescent="0.6"/>
  <cols>
    <col min="1" max="1" width="6.36328125" style="8" bestFit="1" customWidth="1"/>
    <col min="2" max="2" width="18.81640625" style="8" bestFit="1" customWidth="1"/>
    <col min="3" max="3" width="19.453125" style="8" bestFit="1" customWidth="1"/>
    <col min="4" max="4" width="18.08984375" style="8" bestFit="1" customWidth="1"/>
    <col min="5" max="5" width="14.453125" style="8" bestFit="1" customWidth="1"/>
    <col min="6" max="6" width="26.453125" style="8" bestFit="1" customWidth="1"/>
    <col min="7" max="16384" width="8.7265625" style="8"/>
  </cols>
  <sheetData>
    <row r="1" spans="1:6" x14ac:dyDescent="0.6">
      <c r="A1" s="7" t="s">
        <v>62</v>
      </c>
    </row>
    <row r="3" spans="1:6" x14ac:dyDescent="0.6">
      <c r="A3" s="78" t="s">
        <v>61</v>
      </c>
    </row>
    <row r="5" spans="1:6" x14ac:dyDescent="0.6">
      <c r="A5" s="12" t="s">
        <v>24</v>
      </c>
      <c r="B5" s="12" t="s">
        <v>3</v>
      </c>
      <c r="C5" s="12" t="s">
        <v>65</v>
      </c>
      <c r="D5" s="12" t="s">
        <v>11</v>
      </c>
      <c r="E5" s="12" t="s">
        <v>66</v>
      </c>
      <c r="F5" s="12" t="s">
        <v>67</v>
      </c>
    </row>
    <row r="6" spans="1:6" x14ac:dyDescent="0.6">
      <c r="A6" s="9" t="s">
        <v>56</v>
      </c>
      <c r="B6" s="9" t="s">
        <v>13</v>
      </c>
      <c r="C6" s="55">
        <f>'Ann 1'!C15*100000</f>
        <v>2000000</v>
      </c>
      <c r="D6" s="55">
        <f>('Ann 1'!C20+'Ann 1'!C37)*100000</f>
        <v>8300000</v>
      </c>
      <c r="E6" s="55">
        <v>0</v>
      </c>
      <c r="F6" s="84">
        <f>SUM(C6:E6)/100000</f>
        <v>103</v>
      </c>
    </row>
    <row r="7" spans="1:6" x14ac:dyDescent="0.6">
      <c r="A7" s="9" t="s">
        <v>57</v>
      </c>
      <c r="B7" s="9" t="s">
        <v>63</v>
      </c>
      <c r="C7" s="55">
        <v>0</v>
      </c>
      <c r="D7" s="55">
        <v>0</v>
      </c>
      <c r="E7" s="55">
        <v>0</v>
      </c>
      <c r="F7" s="85">
        <f>SUM(C7:E7)/100000</f>
        <v>0</v>
      </c>
    </row>
    <row r="8" spans="1:6" x14ac:dyDescent="0.6">
      <c r="A8" s="9" t="s">
        <v>60</v>
      </c>
      <c r="B8" s="9" t="s">
        <v>64</v>
      </c>
      <c r="C8" s="55">
        <v>0</v>
      </c>
      <c r="D8" s="55">
        <v>0</v>
      </c>
      <c r="E8" s="55">
        <f>'Ann 1'!C39*100000</f>
        <v>0</v>
      </c>
      <c r="F8" s="85">
        <f>SUM(C8:E8)/100000</f>
        <v>0</v>
      </c>
    </row>
    <row r="9" spans="1:6" x14ac:dyDescent="0.6">
      <c r="A9" s="9"/>
      <c r="B9" s="138" t="s">
        <v>8</v>
      </c>
      <c r="C9" s="138"/>
      <c r="D9" s="138"/>
      <c r="E9" s="138"/>
      <c r="F9" s="84">
        <f>SUM(F6:F8)</f>
        <v>103</v>
      </c>
    </row>
    <row r="11" spans="1:6" x14ac:dyDescent="0.6">
      <c r="A11" s="86"/>
      <c r="B11" s="86" t="s">
        <v>68</v>
      </c>
      <c r="C11" s="87">
        <v>0.1</v>
      </c>
      <c r="D11" s="87">
        <v>0.15</v>
      </c>
      <c r="E11" s="87">
        <v>0.1</v>
      </c>
      <c r="F11" s="86" t="s">
        <v>172</v>
      </c>
    </row>
    <row r="12" spans="1:6" x14ac:dyDescent="0.6">
      <c r="A12" s="88" t="s">
        <v>69</v>
      </c>
      <c r="B12" s="89">
        <v>1</v>
      </c>
      <c r="C12" s="90">
        <f>C11*C6</f>
        <v>200000</v>
      </c>
      <c r="D12" s="90">
        <f>D11*D6</f>
        <v>1245000</v>
      </c>
      <c r="E12" s="90">
        <f>E11*(E6+E8)</f>
        <v>0</v>
      </c>
      <c r="F12" s="90">
        <f>SUM(C12:E12)</f>
        <v>1445000</v>
      </c>
    </row>
    <row r="13" spans="1:6" x14ac:dyDescent="0.6">
      <c r="A13" s="88" t="s">
        <v>69</v>
      </c>
      <c r="B13" s="89">
        <v>2</v>
      </c>
      <c r="C13" s="90">
        <f>(C6-C12)*C11</f>
        <v>180000</v>
      </c>
      <c r="D13" s="90">
        <f>(D6-D12)*D11</f>
        <v>1058250</v>
      </c>
      <c r="E13" s="90">
        <f>(E6+E8-E12)*E11</f>
        <v>0</v>
      </c>
      <c r="F13" s="90">
        <f>SUM(C13:E13)</f>
        <v>1238250</v>
      </c>
    </row>
    <row r="14" spans="1:6" x14ac:dyDescent="0.6">
      <c r="A14" s="88" t="s">
        <v>69</v>
      </c>
      <c r="B14" s="89">
        <v>3</v>
      </c>
      <c r="C14" s="90">
        <f>(C6-C12-C13)*C11</f>
        <v>162000</v>
      </c>
      <c r="D14" s="90">
        <f>(D6-D12-D13)*D11</f>
        <v>899512.5</v>
      </c>
      <c r="E14" s="90">
        <f>(E6+E8-E12-E13)*E11</f>
        <v>0</v>
      </c>
      <c r="F14" s="90">
        <f t="shared" ref="F14:F20" si="0">SUM(C14:E14)</f>
        <v>1061512.5</v>
      </c>
    </row>
    <row r="15" spans="1:6" x14ac:dyDescent="0.6">
      <c r="A15" s="88" t="s">
        <v>69</v>
      </c>
      <c r="B15" s="89">
        <v>4</v>
      </c>
      <c r="C15" s="90">
        <f>(C6-C12-C13-C14)*C11</f>
        <v>145800</v>
      </c>
      <c r="D15" s="90">
        <f>(D6-D12-D13-D14)*D11</f>
        <v>764585.625</v>
      </c>
      <c r="E15" s="90">
        <f>(E6+E8-E12-E13-E14)*E11</f>
        <v>0</v>
      </c>
      <c r="F15" s="90">
        <f t="shared" si="0"/>
        <v>910385.625</v>
      </c>
    </row>
    <row r="16" spans="1:6" x14ac:dyDescent="0.6">
      <c r="A16" s="88" t="s">
        <v>69</v>
      </c>
      <c r="B16" s="89">
        <v>5</v>
      </c>
      <c r="C16" s="90">
        <f>(C6-C12-C13-C14-C15)*C11</f>
        <v>131220</v>
      </c>
      <c r="D16" s="90">
        <f>(D6-D12-D13-D14-D15)*D11</f>
        <v>649897.78125</v>
      </c>
      <c r="E16" s="90">
        <f>(E6+E8-E12-E13-E14-E15)*E11</f>
        <v>0</v>
      </c>
      <c r="F16" s="90">
        <f t="shared" si="0"/>
        <v>781117.78125</v>
      </c>
    </row>
    <row r="17" spans="1:6" x14ac:dyDescent="0.6">
      <c r="A17" s="88" t="s">
        <v>69</v>
      </c>
      <c r="B17" s="89">
        <v>6</v>
      </c>
      <c r="C17" s="90">
        <f>(C6-C12-C13-C14-C15-C16)*C11</f>
        <v>118098</v>
      </c>
      <c r="D17" s="90">
        <f>(D6-D12-D13-D14-D15-D16)*D11</f>
        <v>552413.11406249995</v>
      </c>
      <c r="E17" s="90">
        <f>(E6+E8-E12-E13-E14-E15-E16)*E11</f>
        <v>0</v>
      </c>
      <c r="F17" s="90">
        <f t="shared" si="0"/>
        <v>670511.11406249995</v>
      </c>
    </row>
    <row r="18" spans="1:6" x14ac:dyDescent="0.6">
      <c r="A18" s="88" t="s">
        <v>69</v>
      </c>
      <c r="B18" s="89">
        <v>7</v>
      </c>
      <c r="C18" s="90">
        <f>(C6-C12-C13-C14-C15-C16-C17)*C11</f>
        <v>106288.20000000001</v>
      </c>
      <c r="D18" s="90">
        <f>(D6-D12-D13-D14-D15-D16-D17)*D11</f>
        <v>469551.14695312496</v>
      </c>
      <c r="E18" s="90">
        <f>(E6+E8-E12-E13-E14-E15-E16-E17)*E11</f>
        <v>0</v>
      </c>
      <c r="F18" s="90">
        <f t="shared" si="0"/>
        <v>575839.34695312497</v>
      </c>
    </row>
    <row r="19" spans="1:6" x14ac:dyDescent="0.6">
      <c r="A19" s="88" t="s">
        <v>69</v>
      </c>
      <c r="B19" s="89">
        <v>8</v>
      </c>
      <c r="C19" s="90">
        <f>(C6-C12-C13-C14-C15-C16-C17-C18)*C11</f>
        <v>95659.38</v>
      </c>
      <c r="D19" s="90">
        <f>(D6-D12-D13-D14-D15-D16-D17-D18)*D11</f>
        <v>399118.47491015622</v>
      </c>
      <c r="E19" s="90">
        <f>(E6+E8-E12-E13-E14-E15-E16-E17-E18)*E11</f>
        <v>0</v>
      </c>
      <c r="F19" s="90">
        <f t="shared" si="0"/>
        <v>494777.85491015622</v>
      </c>
    </row>
    <row r="20" spans="1:6" x14ac:dyDescent="0.6">
      <c r="A20" s="88" t="s">
        <v>69</v>
      </c>
      <c r="B20" s="89">
        <v>9</v>
      </c>
      <c r="C20" s="90">
        <f>(C6-C12-C13-C14-C15-C16-C17-C18-C19)*C11</f>
        <v>86093.44200000001</v>
      </c>
      <c r="D20" s="90">
        <f>(D6-D12-D13-D14-D15-D16-D17-D18-D19)*D11</f>
        <v>339250.70367363276</v>
      </c>
      <c r="E20" s="90">
        <f>(E6+E8-E12-E13-E14-E15-E16-E17-E18-E19)*E11</f>
        <v>0</v>
      </c>
      <c r="F20" s="90">
        <f t="shared" si="0"/>
        <v>425344.14567363274</v>
      </c>
    </row>
    <row r="21" spans="1:6" x14ac:dyDescent="0.6">
      <c r="B21" s="25"/>
    </row>
    <row r="22" spans="1:6" x14ac:dyDescent="0.6">
      <c r="A22" s="91"/>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2021-08-04T07:53:58Z</cp:lastPrinted>
  <dcterms:created xsi:type="dcterms:W3CDTF">2021-07-04T07:21:16Z</dcterms:created>
  <dcterms:modified xsi:type="dcterms:W3CDTF">2021-11-03T07:34:27Z</dcterms:modified>
</cp:coreProperties>
</file>